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Z:\★共通\【３】管理課\02 【2】賦課\保険料関連様式\R7保険料関係様式（保険料計算書作成中）\"/>
    </mc:Choice>
  </mc:AlternateContent>
  <xr:revisionPtr revIDLastSave="0" documentId="13_ncr:1_{AA7E891D-0517-476C-84A7-0589FFC43028}" xr6:coauthVersionLast="47" xr6:coauthVersionMax="47" xr10:uidLastSave="{00000000-0000-0000-0000-000000000000}"/>
  <workbookProtection workbookAlgorithmName="SHA-512" workbookHashValue="A5LZ3+qsT07rEwupKa49bKNjvVcRSpo0pKNbQKqIRZoOFd2Zv1S1LNJOUj4B7nBZXsXllONNZqPVaQGmeLtDXg==" workbookSaltValue="DOgfg27KbLnbj8rgr/F5JA==" workbookSpinCount="100000" lockStructure="1"/>
  <bookViews>
    <workbookView xWindow="6420" yWindow="570" windowWidth="19200" windowHeight="14145" xr2:uid="{00000000-000D-0000-FFFF-FFFF00000000}"/>
  </bookViews>
  <sheets>
    <sheet name="配布用(出力用)" sheetId="8" r:id="rId1"/>
    <sheet name="所得入力用" sheetId="14" r:id="rId2"/>
    <sheet name="参考資料" sheetId="15" r:id="rId3"/>
  </sheets>
  <definedNames>
    <definedName name="_xlnm.Print_Area" localSheetId="0">'配布用(出力用)'!$A$1:$AB$26</definedName>
    <definedName name="Z_F0840BA3_E3AF_4000_94C0_C3CE0E04B70E_.wvu.PrintArea" localSheetId="0" hidden="1">'配布用(出力用)'!$A$1:$AB$26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0" i="8" l="1"/>
  <c r="V13" i="8"/>
  <c r="G27" i="14"/>
  <c r="G26" i="14"/>
  <c r="G43" i="14"/>
  <c r="G25" i="14" l="1"/>
  <c r="G42" i="14"/>
  <c r="B44" i="14"/>
  <c r="B52" i="14" s="1"/>
  <c r="B60" i="14" s="1"/>
  <c r="B35" i="14"/>
  <c r="H13" i="8"/>
  <c r="C63" i="14"/>
  <c r="G60" i="14"/>
  <c r="G59" i="14"/>
  <c r="G58" i="14" s="1"/>
  <c r="C59" i="14"/>
  <c r="C55" i="14"/>
  <c r="G52" i="14"/>
  <c r="G51" i="14"/>
  <c r="G50" i="14" s="1"/>
  <c r="C51" i="14"/>
  <c r="C47" i="14"/>
  <c r="G44" i="14"/>
  <c r="H16" i="14" l="1"/>
  <c r="I16" i="14" s="1"/>
  <c r="G34" i="14"/>
  <c r="G35" i="14"/>
  <c r="G36" i="14"/>
  <c r="G33" i="14" l="1"/>
  <c r="M76" i="14"/>
  <c r="M75" i="14"/>
  <c r="M74" i="14"/>
  <c r="M73" i="14"/>
  <c r="M68" i="14"/>
  <c r="M67" i="14"/>
  <c r="M66" i="14"/>
  <c r="M65" i="14"/>
  <c r="H17" i="14" l="1"/>
  <c r="I17" i="14" s="1"/>
  <c r="H18" i="14"/>
  <c r="I18" i="14" s="1"/>
  <c r="M47" i="14"/>
  <c r="S10" i="8" l="1"/>
  <c r="B26" i="14" l="1"/>
  <c r="M7" i="8"/>
  <c r="M5" i="8"/>
  <c r="L13" i="8" l="1"/>
  <c r="U8" i="8" l="1"/>
  <c r="M56" i="14" l="1"/>
  <c r="M55" i="14"/>
  <c r="M54" i="14"/>
  <c r="M53" i="14"/>
  <c r="F35" i="14" s="1"/>
  <c r="M46" i="14"/>
  <c r="M45" i="14"/>
  <c r="M44" i="14"/>
  <c r="M43" i="14"/>
  <c r="C43" i="14"/>
  <c r="C39" i="14"/>
  <c r="M36" i="14"/>
  <c r="M35" i="14"/>
  <c r="M34" i="14"/>
  <c r="M33" i="14"/>
  <c r="M32" i="14"/>
  <c r="M31" i="14"/>
  <c r="M30" i="14"/>
  <c r="C30" i="14"/>
  <c r="M29" i="14"/>
  <c r="M28" i="14"/>
  <c r="M27" i="14"/>
  <c r="C26" i="14"/>
  <c r="B11" i="14" s="1"/>
  <c r="F16" i="14" s="1"/>
  <c r="J16" i="14" s="1"/>
  <c r="F52" i="14" l="1"/>
  <c r="F60" i="14"/>
  <c r="F51" i="14"/>
  <c r="F59" i="14"/>
  <c r="F26" i="14"/>
  <c r="F43" i="14"/>
  <c r="F44" i="14"/>
  <c r="F27" i="14"/>
  <c r="F17" i="14"/>
  <c r="J17" i="14" s="1"/>
  <c r="F34" i="14"/>
  <c r="F40" i="14" s="1"/>
  <c r="C34" i="14"/>
  <c r="F36" i="14"/>
  <c r="B10" i="14"/>
  <c r="F18" i="14"/>
  <c r="J18" i="14" s="1"/>
  <c r="F48" i="14" l="1"/>
  <c r="F63" i="14"/>
  <c r="F64" i="14"/>
  <c r="F56" i="14"/>
  <c r="F55" i="14"/>
  <c r="F30" i="14"/>
  <c r="F11" i="14" s="1"/>
  <c r="B20" i="8" s="1"/>
  <c r="F31" i="14"/>
  <c r="F47" i="14"/>
  <c r="F39" i="14"/>
  <c r="H20" i="8" l="1"/>
  <c r="L20" i="8"/>
  <c r="F12" i="14"/>
  <c r="M26" i="8"/>
  <c r="B16" i="14" l="1"/>
  <c r="B13" i="8"/>
  <c r="B18" i="14"/>
  <c r="B17" i="14"/>
  <c r="P13" i="8"/>
  <c r="Z13" i="8" s="1"/>
  <c r="U20" i="8"/>
  <c r="B12" i="14" l="1"/>
  <c r="H17" i="8" s="1"/>
  <c r="G23" i="8" s="1"/>
  <c r="S17" i="8" l="1"/>
  <c r="P25" i="8"/>
  <c r="O17" i="8"/>
  <c r="B23" i="8"/>
  <c r="L17" i="8" l="1"/>
  <c r="R17" i="8"/>
  <c r="K17" i="8"/>
  <c r="J23" i="8"/>
  <c r="V17" i="8" l="1"/>
  <c r="K23" i="8" s="1"/>
  <c r="P23" i="8" l="1"/>
  <c r="V23" i="8" s="1"/>
  <c r="B26" i="8" s="1"/>
  <c r="H26" i="8" l="1"/>
  <c r="P26" i="8" s="1"/>
  <c r="W26" i="8" s="1"/>
  <c r="B22"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沖縄県後期高齢者医療広域連合</author>
  </authors>
  <commentList>
    <comment ref="H7" authorId="0" shapeId="0" xr:uid="{00000000-0006-0000-0000-000001000000}">
      <text>
        <r>
          <rPr>
            <b/>
            <sz val="9"/>
            <color indexed="81"/>
            <rFont val="MS P ゴシック"/>
            <family val="3"/>
            <charset val="128"/>
          </rPr>
          <t xml:space="preserve">75歳到達前に資格取得した場合に入力
</t>
        </r>
      </text>
    </comment>
    <comment ref="E10" authorId="0" shapeId="0" xr:uid="{00000000-0006-0000-0000-000002000000}">
      <text>
        <r>
          <rPr>
            <b/>
            <sz val="9"/>
            <color indexed="81"/>
            <rFont val="MS P ゴシック"/>
            <family val="3"/>
            <charset val="128"/>
          </rPr>
          <t xml:space="preserve">年度当初からの資格取得者は空欄とする。
</t>
        </r>
      </text>
    </comment>
    <comment ref="L10" authorId="0" shapeId="0" xr:uid="{00000000-0006-0000-0000-000003000000}">
      <text>
        <r>
          <rPr>
            <b/>
            <sz val="9"/>
            <color indexed="81"/>
            <rFont val="MS P ゴシック"/>
            <family val="3"/>
            <charset val="128"/>
          </rPr>
          <t xml:space="preserve">年度途中で資格喪失した場合に入力
</t>
        </r>
      </text>
    </comment>
  </commentList>
</comments>
</file>

<file path=xl/sharedStrings.xml><?xml version="1.0" encoding="utf-8"?>
<sst xmlns="http://schemas.openxmlformats.org/spreadsheetml/2006/main" count="515" uniqueCount="200">
  <si>
    <t>市町村名</t>
    <rPh sb="0" eb="3">
      <t>シチョウソン</t>
    </rPh>
    <rPh sb="3" eb="4">
      <t>メイ</t>
    </rPh>
    <phoneticPr fontId="4"/>
  </si>
  <si>
    <t>被保険者番号</t>
    <rPh sb="0" eb="4">
      <t>ヒホケンシャ</t>
    </rPh>
    <rPh sb="4" eb="6">
      <t>バンゴウ</t>
    </rPh>
    <phoneticPr fontId="4"/>
  </si>
  <si>
    <t>基礎控除</t>
    <rPh sb="0" eb="2">
      <t>キソ</t>
    </rPh>
    <rPh sb="2" eb="4">
      <t>コウジョ</t>
    </rPh>
    <phoneticPr fontId="4"/>
  </si>
  <si>
    <t>所得割率</t>
    <rPh sb="0" eb="2">
      <t>ショトク</t>
    </rPh>
    <rPh sb="2" eb="3">
      <t>ワ</t>
    </rPh>
    <rPh sb="3" eb="4">
      <t>リツ</t>
    </rPh>
    <phoneticPr fontId="4"/>
  </si>
  <si>
    <t>Ｂ　所得割額</t>
    <rPh sb="2" eb="4">
      <t>ショトク</t>
    </rPh>
    <rPh sb="4" eb="5">
      <t>ワ</t>
    </rPh>
    <rPh sb="5" eb="6">
      <t>ガク</t>
    </rPh>
    <phoneticPr fontId="4"/>
  </si>
  <si>
    <t>保険料額
C＝A+B</t>
    <rPh sb="0" eb="3">
      <t>ホケンリョウ</t>
    </rPh>
    <rPh sb="3" eb="4">
      <t>ガク</t>
    </rPh>
    <phoneticPr fontId="4"/>
  </si>
  <si>
    <t>均等割軽減額</t>
    <rPh sb="0" eb="3">
      <t>キントウワ</t>
    </rPh>
    <rPh sb="3" eb="5">
      <t>ケイゲン</t>
    </rPh>
    <rPh sb="5" eb="6">
      <t>ガク</t>
    </rPh>
    <phoneticPr fontId="4"/>
  </si>
  <si>
    <t>被扶養者
軽減割合</t>
    <rPh sb="0" eb="4">
      <t>ヒフヨウシャ</t>
    </rPh>
    <rPh sb="5" eb="9">
      <t>ケイゲンワリアイ</t>
    </rPh>
    <phoneticPr fontId="4"/>
  </si>
  <si>
    <t>被扶養者
所得割額</t>
    <rPh sb="0" eb="4">
      <t>ヒフヨウシャ</t>
    </rPh>
    <rPh sb="5" eb="7">
      <t>ショトク</t>
    </rPh>
    <rPh sb="7" eb="8">
      <t>ワリ</t>
    </rPh>
    <rPh sb="8" eb="9">
      <t>ガク</t>
    </rPh>
    <phoneticPr fontId="4"/>
  </si>
  <si>
    <t>軽減割合</t>
    <rPh sb="0" eb="2">
      <t>ケイゲン</t>
    </rPh>
    <rPh sb="2" eb="4">
      <t>ワリアイ</t>
    </rPh>
    <phoneticPr fontId="4"/>
  </si>
  <si>
    <t>加入月数</t>
    <rPh sb="0" eb="2">
      <t>カニュウ</t>
    </rPh>
    <rPh sb="2" eb="4">
      <t>ツキスウ</t>
    </rPh>
    <phoneticPr fontId="3"/>
  </si>
  <si>
    <t>加入月</t>
    <rPh sb="0" eb="2">
      <t>カニュウ</t>
    </rPh>
    <rPh sb="2" eb="3">
      <t>ツキ</t>
    </rPh>
    <phoneticPr fontId="3"/>
  </si>
  <si>
    <t>喪失日</t>
    <rPh sb="0" eb="2">
      <t>ソウシツ</t>
    </rPh>
    <rPh sb="2" eb="3">
      <t>ビ</t>
    </rPh>
    <phoneticPr fontId="3"/>
  </si>
  <si>
    <t>Q1,取得前日が被用者保険の被扶養者ですか？</t>
    <phoneticPr fontId="3"/>
  </si>
  <si>
    <t>Q2,生年月日はいつですか？</t>
    <rPh sb="3" eb="7">
      <t>セイネンガッピ</t>
    </rPh>
    <phoneticPr fontId="3"/>
  </si>
  <si>
    <t>生年月日</t>
    <rPh sb="0" eb="4">
      <t>セイネンガッピ</t>
    </rPh>
    <phoneticPr fontId="3"/>
  </si>
  <si>
    <t>歳</t>
    <rPh sb="0" eb="1">
      <t>サイ</t>
    </rPh>
    <phoneticPr fontId="3"/>
  </si>
  <si>
    <t>資格取得日</t>
    <rPh sb="0" eb="2">
      <t>シカク</t>
    </rPh>
    <rPh sb="2" eb="5">
      <t>シュトクビ</t>
    </rPh>
    <phoneticPr fontId="3"/>
  </si>
  <si>
    <t>基準日</t>
    <rPh sb="0" eb="2">
      <t>キジュン</t>
    </rPh>
    <rPh sb="2" eb="3">
      <t>ビ</t>
    </rPh>
    <phoneticPr fontId="3"/>
  </si>
  <si>
    <t>Q3,75歳到達前に資格取得をしていた場合には、資格取得日を入力</t>
    <rPh sb="5" eb="6">
      <t>サイ</t>
    </rPh>
    <rPh sb="6" eb="9">
      <t>トウタツマエ</t>
    </rPh>
    <rPh sb="10" eb="12">
      <t>シカク</t>
    </rPh>
    <rPh sb="12" eb="14">
      <t>シュトク</t>
    </rPh>
    <rPh sb="19" eb="21">
      <t>バアイ</t>
    </rPh>
    <rPh sb="24" eb="26">
      <t>シカク</t>
    </rPh>
    <rPh sb="26" eb="29">
      <t>シュトクビ</t>
    </rPh>
    <rPh sb="30" eb="32">
      <t>ニュウリョク</t>
    </rPh>
    <phoneticPr fontId="3"/>
  </si>
  <si>
    <t>Q4,年度途中で資格取得並びに資格喪失した場合の資格期間算出（※年間分を出す場合には入力不要）</t>
    <rPh sb="3" eb="5">
      <t>ネンド</t>
    </rPh>
    <rPh sb="5" eb="7">
      <t>トチュウ</t>
    </rPh>
    <rPh sb="8" eb="10">
      <t>シカク</t>
    </rPh>
    <rPh sb="10" eb="12">
      <t>シュトク</t>
    </rPh>
    <rPh sb="12" eb="13">
      <t>ナラ</t>
    </rPh>
    <rPh sb="15" eb="17">
      <t>シカク</t>
    </rPh>
    <rPh sb="17" eb="19">
      <t>ソウシツ</t>
    </rPh>
    <rPh sb="21" eb="23">
      <t>バアイ</t>
    </rPh>
    <rPh sb="24" eb="26">
      <t>シカク</t>
    </rPh>
    <rPh sb="26" eb="28">
      <t>キカン</t>
    </rPh>
    <rPh sb="28" eb="30">
      <t>サンシュツ</t>
    </rPh>
    <rPh sb="32" eb="35">
      <t>ネンカンブン</t>
    </rPh>
    <rPh sb="36" eb="37">
      <t>ダ</t>
    </rPh>
    <rPh sb="38" eb="40">
      <t>バアイ</t>
    </rPh>
    <rPh sb="42" eb="44">
      <t>ニュウリョク</t>
    </rPh>
    <rPh sb="44" eb="46">
      <t>フヨウ</t>
    </rPh>
    <phoneticPr fontId="3"/>
  </si>
  <si>
    <t>被扶養者
軽減適用期間</t>
    <rPh sb="0" eb="4">
      <t>ヒフヨウシャ</t>
    </rPh>
    <rPh sb="5" eb="7">
      <t>ケイゲン</t>
    </rPh>
    <rPh sb="7" eb="9">
      <t>テキヨウ</t>
    </rPh>
    <rPh sb="9" eb="11">
      <t>キカン</t>
    </rPh>
    <phoneticPr fontId="4"/>
  </si>
  <si>
    <t>～</t>
    <phoneticPr fontId="3"/>
  </si>
  <si>
    <t>適用月数</t>
    <rPh sb="0" eb="2">
      <t>テキヨウ</t>
    </rPh>
    <rPh sb="2" eb="4">
      <t>ツキスウ</t>
    </rPh>
    <phoneticPr fontId="4"/>
  </si>
  <si>
    <t>合計所得金額</t>
    <rPh sb="0" eb="2">
      <t>ゴウケイ</t>
    </rPh>
    <rPh sb="2" eb="4">
      <t>ショトク</t>
    </rPh>
    <rPh sb="4" eb="6">
      <t>キンガク</t>
    </rPh>
    <phoneticPr fontId="4"/>
  </si>
  <si>
    <t>均等割
軽減額合計</t>
    <rPh sb="0" eb="3">
      <t>キントウワ</t>
    </rPh>
    <rPh sb="4" eb="6">
      <t>ケイゲン</t>
    </rPh>
    <rPh sb="6" eb="7">
      <t>ガク</t>
    </rPh>
    <rPh sb="7" eb="9">
      <t>ゴウケイ</t>
    </rPh>
    <phoneticPr fontId="4"/>
  </si>
  <si>
    <t>所得割
課税対象額</t>
    <rPh sb="0" eb="3">
      <t>ショトクワリ</t>
    </rPh>
    <rPh sb="4" eb="6">
      <t>カゼイ</t>
    </rPh>
    <rPh sb="6" eb="8">
      <t>タイショウ</t>
    </rPh>
    <rPh sb="8" eb="9">
      <t>ガク</t>
    </rPh>
    <phoneticPr fontId="4"/>
  </si>
  <si>
    <t>所得の低い方の軽減措置</t>
    <rPh sb="0" eb="2">
      <t>ショトク</t>
    </rPh>
    <rPh sb="3" eb="4">
      <t>ヒク</t>
    </rPh>
    <rPh sb="5" eb="6">
      <t>カタ</t>
    </rPh>
    <rPh sb="7" eb="9">
      <t>ケイゲン</t>
    </rPh>
    <rPh sb="9" eb="11">
      <t>ソチ</t>
    </rPh>
    <phoneticPr fontId="4"/>
  </si>
  <si>
    <t>被扶養者の軽減措置</t>
    <rPh sb="0" eb="4">
      <t>ヒフヨウシャ</t>
    </rPh>
    <rPh sb="5" eb="7">
      <t>ケイゲン</t>
    </rPh>
    <rPh sb="7" eb="9">
      <t>ソチ</t>
    </rPh>
    <phoneticPr fontId="4"/>
  </si>
  <si>
    <t>年間保険料額</t>
    <rPh sb="0" eb="2">
      <t>ネンカン</t>
    </rPh>
    <rPh sb="2" eb="5">
      <t>ホケンリョウ</t>
    </rPh>
    <rPh sb="5" eb="6">
      <t>ガク</t>
    </rPh>
    <phoneticPr fontId="4"/>
  </si>
  <si>
    <t>年度終了日</t>
    <rPh sb="0" eb="2">
      <t>ネンド</t>
    </rPh>
    <rPh sb="2" eb="5">
      <t>シュウリョウビ</t>
    </rPh>
    <phoneticPr fontId="3"/>
  </si>
  <si>
    <t>均等割額
基準額</t>
    <rPh sb="0" eb="3">
      <t>キントウワ</t>
    </rPh>
    <rPh sb="3" eb="4">
      <t>ガク</t>
    </rPh>
    <rPh sb="5" eb="8">
      <t>キジュンガク</t>
    </rPh>
    <phoneticPr fontId="4"/>
  </si>
  <si>
    <t>保険料年額</t>
    <rPh sb="0" eb="3">
      <t>ホケンリョウ</t>
    </rPh>
    <rPh sb="3" eb="4">
      <t>ネン</t>
    </rPh>
    <rPh sb="4" eb="5">
      <t>ガク</t>
    </rPh>
    <phoneticPr fontId="4"/>
  </si>
  <si>
    <t>軽減対象所得額</t>
    <phoneticPr fontId="4"/>
  </si>
  <si>
    <t>給与</t>
    <rPh sb="0" eb="2">
      <t>キュウヨ</t>
    </rPh>
    <phoneticPr fontId="4"/>
  </si>
  <si>
    <t>収入額</t>
    <rPh sb="0" eb="2">
      <t>シュウニュウ</t>
    </rPh>
    <rPh sb="2" eb="3">
      <t>ガク</t>
    </rPh>
    <phoneticPr fontId="4"/>
  </si>
  <si>
    <t>所得額</t>
    <rPh sb="0" eb="2">
      <t>ショトク</t>
    </rPh>
    <rPh sb="2" eb="3">
      <t>ガク</t>
    </rPh>
    <phoneticPr fontId="4"/>
  </si>
  <si>
    <t>その他所得額</t>
    <rPh sb="2" eb="3">
      <t>タ</t>
    </rPh>
    <rPh sb="3" eb="5">
      <t>ショトク</t>
    </rPh>
    <rPh sb="5" eb="6">
      <t>ガク</t>
    </rPh>
    <phoneticPr fontId="4"/>
  </si>
  <si>
    <t>基礎控除額</t>
    <rPh sb="0" eb="2">
      <t>キソ</t>
    </rPh>
    <rPh sb="2" eb="5">
      <t>コウジョガク</t>
    </rPh>
    <phoneticPr fontId="3"/>
  </si>
  <si>
    <t>被保険者数</t>
    <rPh sb="0" eb="4">
      <t>ヒホケンシャ</t>
    </rPh>
    <rPh sb="4" eb="5">
      <t>スウ</t>
    </rPh>
    <phoneticPr fontId="3"/>
  </si>
  <si>
    <t>基準額</t>
    <rPh sb="0" eb="3">
      <t>キジュンガク</t>
    </rPh>
    <phoneticPr fontId="3"/>
  </si>
  <si>
    <t>判定額</t>
    <rPh sb="0" eb="2">
      <t>ハンテイ</t>
    </rPh>
    <rPh sb="2" eb="3">
      <t>ガク</t>
    </rPh>
    <phoneticPr fontId="3"/>
  </si>
  <si>
    <t>給与の収入額の合計額（A)</t>
    <rPh sb="0" eb="2">
      <t>キュウヨ</t>
    </rPh>
    <rPh sb="3" eb="6">
      <t>シュウニュウガク</t>
    </rPh>
    <rPh sb="7" eb="10">
      <t>ゴウケイガク</t>
    </rPh>
    <phoneticPr fontId="3"/>
  </si>
  <si>
    <t>円</t>
    <rPh sb="0" eb="1">
      <t>エン</t>
    </rPh>
    <phoneticPr fontId="3"/>
  </si>
  <si>
    <t>0円</t>
    <rPh sb="1" eb="2">
      <t>エン</t>
    </rPh>
    <phoneticPr fontId="3"/>
  </si>
  <si>
    <t>年金の収入額の合計額（A)</t>
    <rPh sb="0" eb="2">
      <t>ネンキン</t>
    </rPh>
    <phoneticPr fontId="3"/>
  </si>
  <si>
    <t>(A)－1,200,000円</t>
    <rPh sb="13" eb="14">
      <t>エン</t>
    </rPh>
    <phoneticPr fontId="3"/>
  </si>
  <si>
    <t>控除額等</t>
    <rPh sb="0" eb="3">
      <t>コウジョガク</t>
    </rPh>
    <rPh sb="3" eb="4">
      <t>トウ</t>
    </rPh>
    <phoneticPr fontId="3"/>
  </si>
  <si>
    <t>控除額等</t>
    <rPh sb="0" eb="3">
      <t>コウジョガク</t>
    </rPh>
    <rPh sb="3" eb="4">
      <t>トウ</t>
    </rPh>
    <phoneticPr fontId="3"/>
  </si>
  <si>
    <t>(A)－700,000円</t>
    <rPh sb="11" eb="12">
      <t>エン</t>
    </rPh>
    <phoneticPr fontId="3"/>
  </si>
  <si>
    <t>生年月日</t>
    <rPh sb="0" eb="4">
      <t>セイネンガッピ</t>
    </rPh>
    <phoneticPr fontId="3"/>
  </si>
  <si>
    <t>年齢</t>
    <rPh sb="0" eb="2">
      <t>ネンレイ</t>
    </rPh>
    <phoneticPr fontId="3"/>
  </si>
  <si>
    <t>合計所得金額</t>
    <rPh sb="0" eb="2">
      <t>ゴウケイ</t>
    </rPh>
    <rPh sb="2" eb="4">
      <t>ショトク</t>
    </rPh>
    <rPh sb="4" eb="6">
      <t>キンガク</t>
    </rPh>
    <phoneticPr fontId="3"/>
  </si>
  <si>
    <t>軽減判定所得金額</t>
    <rPh sb="0" eb="2">
      <t>ケイゲン</t>
    </rPh>
    <rPh sb="2" eb="4">
      <t>ハンテイ</t>
    </rPh>
    <rPh sb="4" eb="6">
      <t>ショトク</t>
    </rPh>
    <rPh sb="6" eb="8">
      <t>キンガク</t>
    </rPh>
    <phoneticPr fontId="3"/>
  </si>
  <si>
    <t>申告</t>
    <rPh sb="0" eb="2">
      <t>シンコク</t>
    </rPh>
    <phoneticPr fontId="3"/>
  </si>
  <si>
    <t>未申告者</t>
    <rPh sb="0" eb="3">
      <t>ミシンコク</t>
    </rPh>
    <rPh sb="3" eb="4">
      <t>シャ</t>
    </rPh>
    <phoneticPr fontId="3"/>
  </si>
  <si>
    <t>被保険者数</t>
    <rPh sb="0" eb="4">
      <t>ヒホケンシャ</t>
    </rPh>
    <rPh sb="4" eb="5">
      <t>スウ</t>
    </rPh>
    <phoneticPr fontId="3"/>
  </si>
  <si>
    <t>合計額</t>
    <rPh sb="0" eb="3">
      <t>ゴウケイガク</t>
    </rPh>
    <phoneticPr fontId="3"/>
  </si>
  <si>
    <t>軽減割合</t>
    <rPh sb="0" eb="2">
      <t>ケイゲン</t>
    </rPh>
    <rPh sb="2" eb="4">
      <t>ワリアイ</t>
    </rPh>
    <phoneticPr fontId="3"/>
  </si>
  <si>
    <t>割</t>
    <rPh sb="0" eb="1">
      <t>ワリ</t>
    </rPh>
    <phoneticPr fontId="3"/>
  </si>
  <si>
    <t>年令基準日</t>
    <rPh sb="0" eb="1">
      <t>ネン</t>
    </rPh>
    <rPh sb="1" eb="2">
      <t>レイ</t>
    </rPh>
    <rPh sb="2" eb="4">
      <t>キジュン</t>
    </rPh>
    <rPh sb="4" eb="5">
      <t>ビ</t>
    </rPh>
    <phoneticPr fontId="3"/>
  </si>
  <si>
    <t>年金収入額(65以上）</t>
    <rPh sb="0" eb="2">
      <t>ネンキン</t>
    </rPh>
    <rPh sb="2" eb="4">
      <t>シュウニュウ</t>
    </rPh>
    <rPh sb="4" eb="5">
      <t>ガク</t>
    </rPh>
    <rPh sb="8" eb="10">
      <t>イジョウ</t>
    </rPh>
    <phoneticPr fontId="4"/>
  </si>
  <si>
    <t>年金収入額(65未満）</t>
    <rPh sb="0" eb="2">
      <t>ネンキン</t>
    </rPh>
    <rPh sb="2" eb="4">
      <t>シュウニュウ</t>
    </rPh>
    <rPh sb="4" eb="5">
      <t>ガク</t>
    </rPh>
    <rPh sb="8" eb="10">
      <t>ミマン</t>
    </rPh>
    <phoneticPr fontId="4"/>
  </si>
  <si>
    <t>世帯主(被保険者ではない)</t>
    <rPh sb="0" eb="2">
      <t>セタイ</t>
    </rPh>
    <rPh sb="2" eb="3">
      <t>シュ</t>
    </rPh>
    <rPh sb="4" eb="8">
      <t>ヒホケンシャ</t>
    </rPh>
    <phoneticPr fontId="3"/>
  </si>
  <si>
    <t>本人の所得金額</t>
    <rPh sb="0" eb="2">
      <t>ホンニン</t>
    </rPh>
    <rPh sb="3" eb="5">
      <t>ショトク</t>
    </rPh>
    <rPh sb="5" eb="7">
      <t>キンガク</t>
    </rPh>
    <phoneticPr fontId="3"/>
  </si>
  <si>
    <t>人</t>
    <rPh sb="0" eb="1">
      <t>ニン</t>
    </rPh>
    <phoneticPr fontId="3"/>
  </si>
  <si>
    <t>加入月数</t>
    <rPh sb="0" eb="2">
      <t>カニュウ</t>
    </rPh>
    <rPh sb="2" eb="4">
      <t>ツキスウ</t>
    </rPh>
    <phoneticPr fontId="4"/>
  </si>
  <si>
    <t>限度額を
超える額</t>
    <phoneticPr fontId="4"/>
  </si>
  <si>
    <t>(A)x0.75</t>
    <phoneticPr fontId="3"/>
  </si>
  <si>
    <t>(A)x0.85</t>
    <phoneticPr fontId="3"/>
  </si>
  <si>
    <t>(A)x0.95</t>
    <phoneticPr fontId="3"/>
  </si>
  <si>
    <t>※(B)は、給与収入金額の合計(A)を４で割って、千円未満切り捨て</t>
    <rPh sb="6" eb="8">
      <t>キュウヨ</t>
    </rPh>
    <rPh sb="8" eb="10">
      <t>シュウニュウ</t>
    </rPh>
    <rPh sb="10" eb="12">
      <t>キンガク</t>
    </rPh>
    <rPh sb="13" eb="15">
      <t>ゴウケイ</t>
    </rPh>
    <rPh sb="21" eb="22">
      <t>ワリ</t>
    </rPh>
    <rPh sb="25" eb="29">
      <t>センエンミマン</t>
    </rPh>
    <rPh sb="29" eb="30">
      <t>キ</t>
    </rPh>
    <rPh sb="31" eb="32">
      <t>ス</t>
    </rPh>
    <phoneticPr fontId="3"/>
  </si>
  <si>
    <t>円</t>
    <rPh sb="0" eb="1">
      <t>エン</t>
    </rPh>
    <phoneticPr fontId="3"/>
  </si>
  <si>
    <t>被保険者年間保険料額</t>
    <rPh sb="0" eb="4">
      <t>ヒホケンシャ</t>
    </rPh>
    <rPh sb="4" eb="6">
      <t>ネンカン</t>
    </rPh>
    <rPh sb="6" eb="9">
      <t>ホケンリョウ</t>
    </rPh>
    <rPh sb="9" eb="10">
      <t>ガク</t>
    </rPh>
    <phoneticPr fontId="3"/>
  </si>
  <si>
    <r>
      <t>Q1において、</t>
    </r>
    <r>
      <rPr>
        <b/>
        <sz val="11"/>
        <rFont val="HG丸ｺﾞｼｯｸM-PRO"/>
        <family val="3"/>
        <charset val="128"/>
      </rPr>
      <t>「はい」</t>
    </r>
    <r>
      <rPr>
        <sz val="11"/>
        <rFont val="HG丸ｺﾞｼｯｸM-PRO"/>
        <family val="3"/>
        <charset val="128"/>
      </rPr>
      <t>だった場合の被扶養者軽減措置の終了日</t>
    </r>
    <rPh sb="14" eb="16">
      <t>バアイ</t>
    </rPh>
    <rPh sb="17" eb="21">
      <t>ヒフヨウシャ</t>
    </rPh>
    <rPh sb="21" eb="23">
      <t>ケイゲン</t>
    </rPh>
    <rPh sb="23" eb="25">
      <t>ソチ</t>
    </rPh>
    <rPh sb="26" eb="29">
      <t>シュウリョウビ</t>
    </rPh>
    <phoneticPr fontId="3"/>
  </si>
  <si>
    <t>被保険者名</t>
    <rPh sb="0" eb="4">
      <t>ヒホケンシャ</t>
    </rPh>
    <rPh sb="4" eb="5">
      <t>メイ</t>
    </rPh>
    <phoneticPr fontId="4"/>
  </si>
  <si>
    <t>簡易計算書の利用方法について</t>
    <rPh sb="0" eb="2">
      <t>カンイ</t>
    </rPh>
    <rPh sb="2" eb="5">
      <t>ケイサンショ</t>
    </rPh>
    <rPh sb="6" eb="8">
      <t>リヨウ</t>
    </rPh>
    <rPh sb="8" eb="10">
      <t>ホウホウ</t>
    </rPh>
    <phoneticPr fontId="3"/>
  </si>
  <si>
    <t>　①シート名「配布用（出力用）」において、「黄色セル箇所」を必要ならば入力</t>
    <rPh sb="5" eb="6">
      <t>メイ</t>
    </rPh>
    <rPh sb="7" eb="10">
      <t>ハイフヨウ</t>
    </rPh>
    <rPh sb="11" eb="14">
      <t>シュツリョクヨウ</t>
    </rPh>
    <rPh sb="22" eb="24">
      <t>キイロ</t>
    </rPh>
    <rPh sb="26" eb="28">
      <t>カショ</t>
    </rPh>
    <rPh sb="30" eb="32">
      <t>ヒツヨウ</t>
    </rPh>
    <rPh sb="35" eb="37">
      <t>ニュウリョク</t>
    </rPh>
    <phoneticPr fontId="3"/>
  </si>
  <si>
    <t>　②被保険者ではない世帯員は、世帯主の場合のみ入力してください。</t>
    <rPh sb="19" eb="21">
      <t>バアイ</t>
    </rPh>
    <phoneticPr fontId="3"/>
  </si>
  <si>
    <t>　③申告区分を選択してください。未申告者がいる場合、均等割額は軽減適用外となります。</t>
    <rPh sb="2" eb="4">
      <t>シンコク</t>
    </rPh>
    <rPh sb="4" eb="6">
      <t>クブン</t>
    </rPh>
    <rPh sb="7" eb="9">
      <t>センタク</t>
    </rPh>
    <rPh sb="16" eb="19">
      <t>ミシンコク</t>
    </rPh>
    <rPh sb="19" eb="20">
      <t>シャ</t>
    </rPh>
    <rPh sb="23" eb="25">
      <t>バアイ</t>
    </rPh>
    <rPh sb="26" eb="29">
      <t>キントウワ</t>
    </rPh>
    <rPh sb="29" eb="30">
      <t>ガク</t>
    </rPh>
    <rPh sb="31" eb="33">
      <t>ケイゲン</t>
    </rPh>
    <rPh sb="33" eb="36">
      <t>テキヨウガイ</t>
    </rPh>
    <phoneticPr fontId="3"/>
  </si>
  <si>
    <t>〇シート名「配布用（出力用）」の入力について</t>
    <rPh sb="16" eb="18">
      <t>ニュウリョク</t>
    </rPh>
    <phoneticPr fontId="3"/>
  </si>
  <si>
    <t>〇シート名「所得入力用」の入力について</t>
    <rPh sb="6" eb="8">
      <t>ショトク</t>
    </rPh>
    <rPh sb="8" eb="11">
      <t>ニュウリョクヨウ</t>
    </rPh>
    <rPh sb="13" eb="15">
      <t>ニュウリョク</t>
    </rPh>
    <phoneticPr fontId="3"/>
  </si>
  <si>
    <t>〇本人の所得額</t>
    <phoneticPr fontId="3"/>
  </si>
  <si>
    <t>〇被保険者ではない世帯主</t>
  </si>
  <si>
    <t>〇本人以外の被保険者Aの所得額</t>
    <phoneticPr fontId="3"/>
  </si>
  <si>
    <t>〇本人以外の被保険者Bの所得額</t>
    <rPh sb="1" eb="3">
      <t>ホンニン</t>
    </rPh>
    <rPh sb="3" eb="5">
      <t>イガイ</t>
    </rPh>
    <rPh sb="6" eb="10">
      <t>ヒホケンシャ</t>
    </rPh>
    <rPh sb="12" eb="14">
      <t>ショトク</t>
    </rPh>
    <rPh sb="14" eb="15">
      <t>ガク</t>
    </rPh>
    <phoneticPr fontId="4"/>
  </si>
  <si>
    <t>〇本人以外の被保険者Cの所得額</t>
    <rPh sb="1" eb="3">
      <t>ホンニン</t>
    </rPh>
    <rPh sb="3" eb="5">
      <t>イガイ</t>
    </rPh>
    <rPh sb="6" eb="10">
      <t>ヒホケンシャ</t>
    </rPh>
    <rPh sb="12" eb="14">
      <t>ショトク</t>
    </rPh>
    <rPh sb="14" eb="15">
      <t>ガク</t>
    </rPh>
    <phoneticPr fontId="4"/>
  </si>
  <si>
    <t>7割軽減</t>
    <rPh sb="1" eb="2">
      <t>ワリ</t>
    </rPh>
    <rPh sb="2" eb="4">
      <t>ケイゲン</t>
    </rPh>
    <phoneticPr fontId="3"/>
  </si>
  <si>
    <t>参考資料</t>
    <rPh sb="0" eb="2">
      <t>サンコウ</t>
    </rPh>
    <rPh sb="2" eb="4">
      <t>シリョウ</t>
    </rPh>
    <phoneticPr fontId="3"/>
  </si>
  <si>
    <t>保険料</t>
    <rPh sb="0" eb="3">
      <t>ホケンリョウ</t>
    </rPh>
    <phoneticPr fontId="3"/>
  </si>
  <si>
    <t>均等割額</t>
    <rPh sb="0" eb="3">
      <t>キントウワリ</t>
    </rPh>
    <rPh sb="3" eb="4">
      <t>ガク</t>
    </rPh>
    <phoneticPr fontId="3"/>
  </si>
  <si>
    <t>所得割率</t>
    <rPh sb="0" eb="2">
      <t>ショトク</t>
    </rPh>
    <rPh sb="2" eb="3">
      <t>ワリ</t>
    </rPh>
    <rPh sb="3" eb="4">
      <t>リツ</t>
    </rPh>
    <phoneticPr fontId="3"/>
  </si>
  <si>
    <t>賦課限度額</t>
    <rPh sb="0" eb="2">
      <t>フカ</t>
    </rPh>
    <rPh sb="2" eb="4">
      <t>ゲンド</t>
    </rPh>
    <rPh sb="4" eb="5">
      <t>ガク</t>
    </rPh>
    <phoneticPr fontId="3"/>
  </si>
  <si>
    <t>所得割率</t>
    <rPh sb="0" eb="2">
      <t>ショトク</t>
    </rPh>
    <rPh sb="2" eb="3">
      <t>ワリ</t>
    </rPh>
    <rPh sb="3" eb="4">
      <t>リツ</t>
    </rPh>
    <phoneticPr fontId="4"/>
  </si>
  <si>
    <t>均等割額</t>
    <rPh sb="0" eb="3">
      <t>キントウワリ</t>
    </rPh>
    <rPh sb="3" eb="4">
      <t>ガク</t>
    </rPh>
    <phoneticPr fontId="4"/>
  </si>
  <si>
    <t>35市町村</t>
    <rPh sb="2" eb="5">
      <t>シチョウソン</t>
    </rPh>
    <phoneticPr fontId="4"/>
  </si>
  <si>
    <t>竹富町</t>
    <rPh sb="0" eb="3">
      <t>タケトミチョウ</t>
    </rPh>
    <phoneticPr fontId="4"/>
  </si>
  <si>
    <t>渡嘉敷村</t>
    <rPh sb="0" eb="4">
      <t>トカシキソン</t>
    </rPh>
    <phoneticPr fontId="4"/>
  </si>
  <si>
    <t>伊是名村</t>
    <rPh sb="0" eb="4">
      <t>イゼナソン</t>
    </rPh>
    <phoneticPr fontId="4"/>
  </si>
  <si>
    <t>粟国村</t>
    <rPh sb="0" eb="3">
      <t>アグニソン</t>
    </rPh>
    <phoneticPr fontId="4"/>
  </si>
  <si>
    <t>宮古島市</t>
    <rPh sb="0" eb="3">
      <t>ミヤコジマ</t>
    </rPh>
    <rPh sb="3" eb="4">
      <t>シ</t>
    </rPh>
    <phoneticPr fontId="4"/>
  </si>
  <si>
    <t>南大東村</t>
    <rPh sb="0" eb="3">
      <t>ミナミダイトウ</t>
    </rPh>
    <rPh sb="3" eb="4">
      <t>ソン</t>
    </rPh>
    <phoneticPr fontId="4"/>
  </si>
  <si>
    <t>不均一（H20～H25）</t>
    <rPh sb="0" eb="3">
      <t>フキンイツ</t>
    </rPh>
    <phoneticPr fontId="4"/>
  </si>
  <si>
    <t>年度</t>
    <rPh sb="0" eb="2">
      <t>ネンド</t>
    </rPh>
    <phoneticPr fontId="3"/>
  </si>
  <si>
    <t>※1</t>
    <phoneticPr fontId="3"/>
  </si>
  <si>
    <t>※2</t>
  </si>
  <si>
    <t>※3</t>
  </si>
  <si>
    <t>※4</t>
  </si>
  <si>
    <t>※１ 基礎控除額（33万円）を超えない世帯で、「被保険者全員が年金収入80万円以下」の世帯（その他各種所得がない場合）</t>
    <rPh sb="3" eb="5">
      <t>キソ</t>
    </rPh>
    <rPh sb="5" eb="7">
      <t>コウジョ</t>
    </rPh>
    <rPh sb="7" eb="8">
      <t>ガク</t>
    </rPh>
    <rPh sb="11" eb="13">
      <t>マンエン</t>
    </rPh>
    <rPh sb="15" eb="16">
      <t>コ</t>
    </rPh>
    <rPh sb="19" eb="21">
      <t>セタイ</t>
    </rPh>
    <rPh sb="24" eb="28">
      <t>ヒホケンシャ</t>
    </rPh>
    <rPh sb="28" eb="30">
      <t>ゼンイン</t>
    </rPh>
    <rPh sb="31" eb="33">
      <t>ネンキン</t>
    </rPh>
    <rPh sb="33" eb="35">
      <t>シュウニュウ</t>
    </rPh>
    <rPh sb="37" eb="39">
      <t>マンエン</t>
    </rPh>
    <rPh sb="39" eb="41">
      <t>イカ</t>
    </rPh>
    <rPh sb="43" eb="45">
      <t>セタイ</t>
    </rPh>
    <rPh sb="48" eb="49">
      <t>タ</t>
    </rPh>
    <rPh sb="49" eb="51">
      <t>カクシュ</t>
    </rPh>
    <rPh sb="51" eb="53">
      <t>ショトク</t>
    </rPh>
    <rPh sb="56" eb="58">
      <t>バアイ</t>
    </rPh>
    <phoneticPr fontId="3"/>
  </si>
  <si>
    <t>※２ 基礎控除額（33万円）を超えない世帯</t>
    <phoneticPr fontId="3"/>
  </si>
  <si>
    <t>※３ 基礎控除額（33万円）+〇〇万円×世帯に属する被保険者数　を超えない世帯。</t>
    <rPh sb="3" eb="5">
      <t>キソ</t>
    </rPh>
    <rPh sb="5" eb="7">
      <t>コウジョ</t>
    </rPh>
    <rPh sb="7" eb="8">
      <t>ガク</t>
    </rPh>
    <rPh sb="11" eb="13">
      <t>マンエン</t>
    </rPh>
    <rPh sb="17" eb="19">
      <t>マンエン</t>
    </rPh>
    <rPh sb="20" eb="22">
      <t>セタイ</t>
    </rPh>
    <rPh sb="23" eb="24">
      <t>ゾク</t>
    </rPh>
    <rPh sb="26" eb="30">
      <t>ヒホケンシャ</t>
    </rPh>
    <rPh sb="30" eb="31">
      <t>スウ</t>
    </rPh>
    <rPh sb="33" eb="34">
      <t>コ</t>
    </rPh>
    <rPh sb="37" eb="39">
      <t>セタイ</t>
    </rPh>
    <phoneticPr fontId="3"/>
  </si>
  <si>
    <t>※４ 基礎控除額（33万円）+□□万円×世帯に属する被保険者数　を超えない世帯。</t>
    <phoneticPr fontId="3"/>
  </si>
  <si>
    <t>9割</t>
    <rPh sb="1" eb="2">
      <t>ワリ</t>
    </rPh>
    <phoneticPr fontId="3"/>
  </si>
  <si>
    <t>均等割軽減割合</t>
    <rPh sb="0" eb="3">
      <t>キントウワリ</t>
    </rPh>
    <rPh sb="3" eb="5">
      <t>ケイゲン</t>
    </rPh>
    <rPh sb="5" eb="7">
      <t>ワリアイ</t>
    </rPh>
    <phoneticPr fontId="3"/>
  </si>
  <si>
    <t>8割</t>
    <rPh sb="1" eb="2">
      <t>ワリ</t>
    </rPh>
    <phoneticPr fontId="3"/>
  </si>
  <si>
    <t>7割</t>
    <rPh sb="1" eb="2">
      <t>ワリ</t>
    </rPh>
    <phoneticPr fontId="3"/>
  </si>
  <si>
    <t>8.5割</t>
    <rPh sb="3" eb="4">
      <t>ワリ</t>
    </rPh>
    <phoneticPr fontId="3"/>
  </si>
  <si>
    <t>7.75割</t>
    <rPh sb="4" eb="5">
      <t>ワリ</t>
    </rPh>
    <phoneticPr fontId="3"/>
  </si>
  <si>
    <t>5割</t>
    <rPh sb="1" eb="2">
      <t>ワリ</t>
    </rPh>
    <phoneticPr fontId="3"/>
  </si>
  <si>
    <t>2割</t>
    <rPh sb="1" eb="2">
      <t>ワリ</t>
    </rPh>
    <phoneticPr fontId="3"/>
  </si>
  <si>
    <t>〇〇</t>
    <phoneticPr fontId="3"/>
  </si>
  <si>
    <t>□□</t>
    <phoneticPr fontId="3"/>
  </si>
  <si>
    <t>無し</t>
    <rPh sb="0" eb="1">
      <t>ナ</t>
    </rPh>
    <phoneticPr fontId="3"/>
  </si>
  <si>
    <t>※５</t>
    <phoneticPr fontId="3"/>
  </si>
  <si>
    <t>所得軽減</t>
    <rPh sb="0" eb="2">
      <t>ショトク</t>
    </rPh>
    <rPh sb="2" eb="4">
      <t>ケイゲン</t>
    </rPh>
    <phoneticPr fontId="3"/>
  </si>
  <si>
    <t>5割(2年)</t>
    <rPh sb="1" eb="2">
      <t>ワリ</t>
    </rPh>
    <rPh sb="4" eb="5">
      <t>ネン</t>
    </rPh>
    <phoneticPr fontId="3"/>
  </si>
  <si>
    <t>被扶養者軽減</t>
    <rPh sb="0" eb="4">
      <t>ヒフヨウシャ</t>
    </rPh>
    <rPh sb="4" eb="6">
      <t>ケイゲン</t>
    </rPh>
    <phoneticPr fontId="3"/>
  </si>
  <si>
    <t>5割(所得割無し)
加入~2年間</t>
    <rPh sb="1" eb="2">
      <t>ワリ</t>
    </rPh>
    <rPh sb="3" eb="5">
      <t>ショトク</t>
    </rPh>
    <rPh sb="5" eb="6">
      <t>ワリ</t>
    </rPh>
    <rPh sb="6" eb="7">
      <t>ナ</t>
    </rPh>
    <rPh sb="10" eb="12">
      <t>カニュウ</t>
    </rPh>
    <rPh sb="14" eb="15">
      <t>ネン</t>
    </rPh>
    <rPh sb="15" eb="16">
      <t>アイダ</t>
    </rPh>
    <phoneticPr fontId="3"/>
  </si>
  <si>
    <t>原則
割合</t>
    <rPh sb="0" eb="2">
      <t>ゲンソク</t>
    </rPh>
    <rPh sb="3" eb="5">
      <t>ワリアイ</t>
    </rPh>
    <phoneticPr fontId="3"/>
  </si>
  <si>
    <t>※５ 基礎控除（33万円）後の総所得金額が58万円以下の人</t>
    <rPh sb="3" eb="5">
      <t>キソ</t>
    </rPh>
    <rPh sb="5" eb="7">
      <t>コウジョ</t>
    </rPh>
    <rPh sb="10" eb="12">
      <t>マンエン</t>
    </rPh>
    <rPh sb="13" eb="14">
      <t>ゴ</t>
    </rPh>
    <rPh sb="15" eb="18">
      <t>ソウショトク</t>
    </rPh>
    <rPh sb="18" eb="20">
      <t>キンガク</t>
    </rPh>
    <rPh sb="23" eb="25">
      <t>マンエン</t>
    </rPh>
    <rPh sb="25" eb="27">
      <t>イカ</t>
    </rPh>
    <rPh sb="28" eb="29">
      <t>ヒト</t>
    </rPh>
    <phoneticPr fontId="3"/>
  </si>
  <si>
    <t>　　　＊H20～H25年度における、世帯に属する被保険者数は、被保険者である世帯主を除いた数値</t>
    <rPh sb="11" eb="13">
      <t>ネンド</t>
    </rPh>
    <rPh sb="18" eb="20">
      <t>セタイ</t>
    </rPh>
    <rPh sb="21" eb="22">
      <t>ゾク</t>
    </rPh>
    <rPh sb="24" eb="28">
      <t>ヒホケンシャ</t>
    </rPh>
    <rPh sb="28" eb="29">
      <t>スウ</t>
    </rPh>
    <rPh sb="31" eb="35">
      <t>ヒホケンシャ</t>
    </rPh>
    <rPh sb="38" eb="41">
      <t>セタイヌシ</t>
    </rPh>
    <rPh sb="42" eb="43">
      <t>ノゾ</t>
    </rPh>
    <rPh sb="45" eb="47">
      <t>スウチ</t>
    </rPh>
    <phoneticPr fontId="3"/>
  </si>
  <si>
    <t>平成20年度(2008)</t>
    <rPh sb="0" eb="2">
      <t>ヘイセイ</t>
    </rPh>
    <rPh sb="4" eb="6">
      <t>ネンド</t>
    </rPh>
    <phoneticPr fontId="3"/>
  </si>
  <si>
    <t>平成21年度(2009)</t>
    <rPh sb="0" eb="2">
      <t>ヘイセイ</t>
    </rPh>
    <rPh sb="4" eb="6">
      <t>ネンド</t>
    </rPh>
    <phoneticPr fontId="3"/>
  </si>
  <si>
    <t>平成22年度(2010)</t>
    <rPh sb="0" eb="2">
      <t>ヘイセイ</t>
    </rPh>
    <rPh sb="4" eb="6">
      <t>ネンド</t>
    </rPh>
    <phoneticPr fontId="3"/>
  </si>
  <si>
    <t>平成23年度(2011)</t>
    <rPh sb="0" eb="2">
      <t>ヘイセイ</t>
    </rPh>
    <rPh sb="4" eb="6">
      <t>ネンド</t>
    </rPh>
    <phoneticPr fontId="3"/>
  </si>
  <si>
    <t>平成24年度(2012)</t>
    <rPh sb="0" eb="2">
      <t>ヘイセイ</t>
    </rPh>
    <rPh sb="4" eb="6">
      <t>ネンド</t>
    </rPh>
    <phoneticPr fontId="3"/>
  </si>
  <si>
    <t>平成25年度(2013)</t>
    <rPh sb="0" eb="2">
      <t>ヘイセイ</t>
    </rPh>
    <rPh sb="4" eb="6">
      <t>ネンド</t>
    </rPh>
    <phoneticPr fontId="3"/>
  </si>
  <si>
    <t>平成26年度(2014)</t>
    <rPh sb="0" eb="2">
      <t>ヘイセイ</t>
    </rPh>
    <rPh sb="4" eb="6">
      <t>ネンド</t>
    </rPh>
    <phoneticPr fontId="3"/>
  </si>
  <si>
    <t>平成27年度(2015)</t>
    <rPh sb="0" eb="2">
      <t>ヘイセイ</t>
    </rPh>
    <rPh sb="4" eb="6">
      <t>ネンド</t>
    </rPh>
    <phoneticPr fontId="3"/>
  </si>
  <si>
    <t>平成28年度(2016)</t>
    <rPh sb="0" eb="2">
      <t>ヘイセイ</t>
    </rPh>
    <rPh sb="4" eb="6">
      <t>ネンド</t>
    </rPh>
    <phoneticPr fontId="3"/>
  </si>
  <si>
    <t>平成29年度(2017)</t>
    <rPh sb="0" eb="2">
      <t>ヘイセイ</t>
    </rPh>
    <rPh sb="4" eb="6">
      <t>ネンド</t>
    </rPh>
    <phoneticPr fontId="3"/>
  </si>
  <si>
    <t>平成30年度(2018)</t>
    <rPh sb="0" eb="2">
      <t>ヘイセイ</t>
    </rPh>
    <rPh sb="4" eb="6">
      <t>ネンド</t>
    </rPh>
    <phoneticPr fontId="3"/>
  </si>
  <si>
    <t>令和元年度(2019)</t>
    <rPh sb="0" eb="2">
      <t>レイワ</t>
    </rPh>
    <rPh sb="2" eb="3">
      <t>モト</t>
    </rPh>
    <rPh sb="3" eb="5">
      <t>ネンド</t>
    </rPh>
    <phoneticPr fontId="3"/>
  </si>
  <si>
    <t>令和2年度(2020)</t>
    <rPh sb="0" eb="2">
      <t>レイワ</t>
    </rPh>
    <rPh sb="3" eb="5">
      <t>ネンド</t>
    </rPh>
    <phoneticPr fontId="3"/>
  </si>
  <si>
    <t>令和3年度(2021)</t>
    <rPh sb="0" eb="2">
      <t>レイワ</t>
    </rPh>
    <rPh sb="3" eb="5">
      <t>ネンド</t>
    </rPh>
    <phoneticPr fontId="3"/>
  </si>
  <si>
    <r>
      <t>　①世帯員の</t>
    </r>
    <r>
      <rPr>
        <b/>
        <sz val="11"/>
        <color rgb="FFFF0000"/>
        <rFont val="游ゴシック"/>
        <family val="3"/>
        <charset val="128"/>
        <scheme val="minor"/>
      </rPr>
      <t>年齢</t>
    </r>
    <r>
      <rPr>
        <sz val="11"/>
        <color theme="1"/>
        <rFont val="游ゴシック"/>
        <family val="2"/>
        <charset val="128"/>
        <scheme val="minor"/>
      </rPr>
      <t>を必ず入力してください。(同一世帯の被保険者該当者）</t>
    </r>
    <rPh sb="2" eb="5">
      <t>セタイイン</t>
    </rPh>
    <rPh sb="6" eb="8">
      <t>ネンレイ</t>
    </rPh>
    <rPh sb="9" eb="10">
      <t>カナラ</t>
    </rPh>
    <rPh sb="11" eb="13">
      <t>ニュウリョク</t>
    </rPh>
    <rPh sb="21" eb="23">
      <t>ドウイツ</t>
    </rPh>
    <rPh sb="23" eb="25">
      <t>セタイ</t>
    </rPh>
    <rPh sb="26" eb="30">
      <t>ヒホケンシャ</t>
    </rPh>
    <rPh sb="30" eb="33">
      <t>ガイトウシャ</t>
    </rPh>
    <phoneticPr fontId="3"/>
  </si>
  <si>
    <t>A　均等割額</t>
    <rPh sb="2" eb="5">
      <t>キントウワ</t>
    </rPh>
    <rPh sb="5" eb="6">
      <t>ガク</t>
    </rPh>
    <phoneticPr fontId="4"/>
  </si>
  <si>
    <t>(A)－550,000円</t>
    <rPh sb="11" eb="12">
      <t>エン</t>
    </rPh>
    <phoneticPr fontId="3"/>
  </si>
  <si>
    <t>1,069,000円</t>
    <rPh sb="9" eb="10">
      <t>エン</t>
    </rPh>
    <phoneticPr fontId="3"/>
  </si>
  <si>
    <t>1,070,000円</t>
    <rPh sb="9" eb="10">
      <t>エン</t>
    </rPh>
    <phoneticPr fontId="3"/>
  </si>
  <si>
    <t>1,072,000円</t>
    <rPh sb="9" eb="10">
      <t>エン</t>
    </rPh>
    <phoneticPr fontId="3"/>
  </si>
  <si>
    <t>1,074,000円</t>
    <rPh sb="9" eb="10">
      <t>エン</t>
    </rPh>
    <phoneticPr fontId="3"/>
  </si>
  <si>
    <t>(B)x2.4+100,000円</t>
    <rPh sb="15" eb="16">
      <t>エン</t>
    </rPh>
    <phoneticPr fontId="3"/>
  </si>
  <si>
    <t>(B)x2.8－80,000円</t>
    <rPh sb="14" eb="15">
      <t>エン</t>
    </rPh>
    <phoneticPr fontId="3"/>
  </si>
  <si>
    <t>(B)x3.2－440,000円</t>
    <rPh sb="15" eb="16">
      <t>エン</t>
    </rPh>
    <phoneticPr fontId="3"/>
  </si>
  <si>
    <t>(A)x0.9－1,100,000円</t>
    <rPh sb="17" eb="18">
      <t>エン</t>
    </rPh>
    <phoneticPr fontId="3"/>
  </si>
  <si>
    <t>(A)－1,950,000円</t>
    <rPh sb="13" eb="14">
      <t>エン</t>
    </rPh>
    <phoneticPr fontId="3"/>
  </si>
  <si>
    <t>令和2年度～</t>
    <rPh sb="0" eb="2">
      <t>レイワ</t>
    </rPh>
    <rPh sb="3" eb="5">
      <t>ネンド</t>
    </rPh>
    <rPh sb="4" eb="5">
      <t>ガンネン</t>
    </rPh>
    <phoneticPr fontId="3"/>
  </si>
  <si>
    <t>65歳未満の年金について（1,000万円以下）</t>
    <rPh sb="2" eb="5">
      <t>サイミマン</t>
    </rPh>
    <rPh sb="6" eb="8">
      <t>ネンキン</t>
    </rPh>
    <rPh sb="18" eb="20">
      <t>マンエン</t>
    </rPh>
    <rPh sb="20" eb="22">
      <t>イカ</t>
    </rPh>
    <phoneticPr fontId="3"/>
  </si>
  <si>
    <t>65歳以上の年金について(その他所得1,000万円以下）</t>
    <rPh sb="2" eb="5">
      <t>サイイジョウ</t>
    </rPh>
    <rPh sb="6" eb="8">
      <t>ネンキン</t>
    </rPh>
    <rPh sb="15" eb="16">
      <t>タ</t>
    </rPh>
    <rPh sb="16" eb="18">
      <t>ショトク</t>
    </rPh>
    <rPh sb="23" eb="25">
      <t>マンエン</t>
    </rPh>
    <rPh sb="25" eb="27">
      <t>イカ</t>
    </rPh>
    <phoneticPr fontId="3"/>
  </si>
  <si>
    <t>※その他所得が1,000万円以上ならば保険料は限度額となる</t>
    <phoneticPr fontId="3"/>
  </si>
  <si>
    <t>(A)－600,000円</t>
    <rPh sb="11" eb="12">
      <t>エン</t>
    </rPh>
    <phoneticPr fontId="3"/>
  </si>
  <si>
    <t>(A)－1,100,000円</t>
    <rPh sb="13" eb="14">
      <t>エン</t>
    </rPh>
    <phoneticPr fontId="3"/>
  </si>
  <si>
    <t>100％</t>
    <phoneticPr fontId="3"/>
  </si>
  <si>
    <t>令和2年分以後</t>
    <rPh sb="0" eb="2">
      <t>レイワ</t>
    </rPh>
    <rPh sb="3" eb="4">
      <t>ネン</t>
    </rPh>
    <rPh sb="4" eb="5">
      <t>ブン</t>
    </rPh>
    <rPh sb="5" eb="7">
      <t>イゴ</t>
    </rPh>
    <phoneticPr fontId="3"/>
  </si>
  <si>
    <t>参考資料</t>
    <rPh sb="0" eb="2">
      <t>サンコウ</t>
    </rPh>
    <rPh sb="2" eb="4">
      <t>シリョウ</t>
    </rPh>
    <phoneticPr fontId="3"/>
  </si>
  <si>
    <t>65歳以上の年金について（平成17年～令和元年分まで）基準表</t>
    <rPh sb="2" eb="5">
      <t>サイイジョウ</t>
    </rPh>
    <rPh sb="6" eb="8">
      <t>ネンキン</t>
    </rPh>
    <rPh sb="13" eb="15">
      <t>ヘイセイ</t>
    </rPh>
    <rPh sb="17" eb="18">
      <t>ネン</t>
    </rPh>
    <rPh sb="19" eb="21">
      <t>レイワ</t>
    </rPh>
    <rPh sb="21" eb="22">
      <t>モト</t>
    </rPh>
    <rPh sb="23" eb="24">
      <t>ブン</t>
    </rPh>
    <rPh sb="27" eb="29">
      <t>キジュン</t>
    </rPh>
    <rPh sb="29" eb="30">
      <t>ヒョウ</t>
    </rPh>
    <phoneticPr fontId="3"/>
  </si>
  <si>
    <t>65歳未満の年金について（平成17年～令和元年分まで）基準表</t>
    <rPh sb="2" eb="5">
      <t>サイミマン</t>
    </rPh>
    <rPh sb="6" eb="8">
      <t>ネンキン</t>
    </rPh>
    <phoneticPr fontId="3"/>
  </si>
  <si>
    <r>
      <rPr>
        <b/>
        <sz val="11"/>
        <color theme="1"/>
        <rFont val="游ゴシック"/>
        <family val="3"/>
        <charset val="128"/>
        <scheme val="minor"/>
      </rPr>
      <t>注１</t>
    </r>
    <r>
      <rPr>
        <sz val="11"/>
        <color theme="1"/>
        <rFont val="游ゴシック"/>
        <family val="2"/>
        <charset val="128"/>
        <scheme val="minor"/>
      </rPr>
      <t>　給与所得者等の人数　①一定の給与所得者（給与収入55万円超）②65歳未満の年金収入60万円超③65歳以上で年金収入110万円超</t>
    </r>
    <rPh sb="0" eb="1">
      <t>チュウ</t>
    </rPh>
    <rPh sb="3" eb="5">
      <t>キュウヨ</t>
    </rPh>
    <rPh sb="5" eb="7">
      <t>ショトク</t>
    </rPh>
    <rPh sb="7" eb="8">
      <t>シャ</t>
    </rPh>
    <rPh sb="8" eb="9">
      <t>トウ</t>
    </rPh>
    <rPh sb="10" eb="12">
      <t>ニンズウ</t>
    </rPh>
    <rPh sb="14" eb="16">
      <t>イッテイ</t>
    </rPh>
    <rPh sb="17" eb="19">
      <t>キュウヨ</t>
    </rPh>
    <rPh sb="19" eb="21">
      <t>ショトク</t>
    </rPh>
    <rPh sb="21" eb="22">
      <t>シャ</t>
    </rPh>
    <rPh sb="23" eb="25">
      <t>キュウヨ</t>
    </rPh>
    <rPh sb="25" eb="27">
      <t>シュウニュウ</t>
    </rPh>
    <rPh sb="29" eb="31">
      <t>マンエン</t>
    </rPh>
    <rPh sb="31" eb="32">
      <t>チョウ</t>
    </rPh>
    <rPh sb="36" eb="39">
      <t>サイミマン</t>
    </rPh>
    <rPh sb="40" eb="42">
      <t>ネンキン</t>
    </rPh>
    <rPh sb="42" eb="44">
      <t>シュウニュウ</t>
    </rPh>
    <rPh sb="46" eb="48">
      <t>マンエン</t>
    </rPh>
    <rPh sb="48" eb="49">
      <t>チョウ</t>
    </rPh>
    <rPh sb="52" eb="55">
      <t>サイイジョウ</t>
    </rPh>
    <rPh sb="56" eb="58">
      <t>ネンキン</t>
    </rPh>
    <rPh sb="58" eb="60">
      <t>シュウニュウ</t>
    </rPh>
    <rPh sb="64" eb="65">
      <t>エン</t>
    </rPh>
    <rPh sb="65" eb="66">
      <t>チョウ</t>
    </rPh>
    <phoneticPr fontId="3"/>
  </si>
  <si>
    <t>※一定の給与所得者等が2人以上いる世帯については、基礎控除額(43万円)に（給与所得者等の数-1）×10万円の加算</t>
    <rPh sb="1" eb="3">
      <t>イッテイ</t>
    </rPh>
    <rPh sb="4" eb="6">
      <t>キュウヨ</t>
    </rPh>
    <rPh sb="6" eb="8">
      <t>ショトク</t>
    </rPh>
    <rPh sb="8" eb="9">
      <t>シャ</t>
    </rPh>
    <rPh sb="9" eb="10">
      <t>トウ</t>
    </rPh>
    <rPh sb="12" eb="13">
      <t>ニン</t>
    </rPh>
    <rPh sb="13" eb="15">
      <t>イジョウ</t>
    </rPh>
    <rPh sb="17" eb="19">
      <t>セタイ</t>
    </rPh>
    <rPh sb="25" eb="27">
      <t>キソ</t>
    </rPh>
    <rPh sb="27" eb="29">
      <t>コウジョ</t>
    </rPh>
    <rPh sb="29" eb="30">
      <t>ガク</t>
    </rPh>
    <rPh sb="33" eb="35">
      <t>マンエン</t>
    </rPh>
    <rPh sb="38" eb="44">
      <t>キュウヨショトクシャトウ</t>
    </rPh>
    <rPh sb="45" eb="46">
      <t>カズ</t>
    </rPh>
    <rPh sb="52" eb="54">
      <t>マンエン</t>
    </rPh>
    <rPh sb="55" eb="57">
      <t>カサン</t>
    </rPh>
    <phoneticPr fontId="3"/>
  </si>
  <si>
    <t>注1</t>
    <rPh sb="0" eb="1">
      <t>チュウ</t>
    </rPh>
    <phoneticPr fontId="3"/>
  </si>
  <si>
    <t>人数</t>
    <rPh sb="0" eb="2">
      <t>ニンズウ</t>
    </rPh>
    <phoneticPr fontId="3"/>
  </si>
  <si>
    <t>加算額</t>
    <rPh sb="0" eb="3">
      <t>カサンガク</t>
    </rPh>
    <phoneticPr fontId="3"/>
  </si>
  <si>
    <t>専従者給与（控除）額</t>
    <rPh sb="0" eb="3">
      <t>センジュウシャ</t>
    </rPh>
    <rPh sb="3" eb="5">
      <t>キュウヨ</t>
    </rPh>
    <rPh sb="6" eb="8">
      <t>コウジョ</t>
    </rPh>
    <rPh sb="9" eb="10">
      <t>ガク</t>
    </rPh>
    <phoneticPr fontId="3"/>
  </si>
  <si>
    <t>－</t>
    <phoneticPr fontId="3"/>
  </si>
  <si>
    <t>－</t>
    <phoneticPr fontId="3"/>
  </si>
  <si>
    <t>　</t>
  </si>
  <si>
    <t>5割軽減</t>
    <rPh sb="1" eb="2">
      <t>ワリ</t>
    </rPh>
    <rPh sb="2" eb="4">
      <t>ケイゲン</t>
    </rPh>
    <phoneticPr fontId="3"/>
  </si>
  <si>
    <t>2割軽減</t>
    <rPh sb="1" eb="2">
      <t>ワリ</t>
    </rPh>
    <rPh sb="2" eb="4">
      <t>ケイゲン</t>
    </rPh>
    <phoneticPr fontId="3"/>
  </si>
  <si>
    <t>※３ 基礎控除額（43万円）+〇〇万円×世帯に属する被保険者数　を超えない世帯。</t>
    <rPh sb="3" eb="5">
      <t>キソ</t>
    </rPh>
    <rPh sb="5" eb="7">
      <t>コウジョ</t>
    </rPh>
    <rPh sb="7" eb="8">
      <t>ガク</t>
    </rPh>
    <rPh sb="11" eb="13">
      <t>マンエン</t>
    </rPh>
    <rPh sb="17" eb="19">
      <t>マンエン</t>
    </rPh>
    <rPh sb="20" eb="22">
      <t>セタイ</t>
    </rPh>
    <rPh sb="23" eb="24">
      <t>ゾク</t>
    </rPh>
    <rPh sb="26" eb="30">
      <t>ヒホケンシャ</t>
    </rPh>
    <rPh sb="30" eb="31">
      <t>スウ</t>
    </rPh>
    <rPh sb="33" eb="34">
      <t>コ</t>
    </rPh>
    <rPh sb="37" eb="39">
      <t>セタイ</t>
    </rPh>
    <phoneticPr fontId="3"/>
  </si>
  <si>
    <t>※４ 基礎控除額（43万円）+□□万円×世帯に属する被保険者数　を超えない世帯。</t>
    <phoneticPr fontId="3"/>
  </si>
  <si>
    <t>※１・２ 基礎控除額（43万円）を超えない世帯</t>
    <phoneticPr fontId="3"/>
  </si>
  <si>
    <t>（①＋② or ①＋③の場合が該当）</t>
    <rPh sb="12" eb="14">
      <t>バアイ</t>
    </rPh>
    <rPh sb="15" eb="17">
      <t>ガイトウ</t>
    </rPh>
    <phoneticPr fontId="3"/>
  </si>
  <si>
    <t>令和4年度(2022)</t>
    <rPh sb="0" eb="2">
      <t>レイワ</t>
    </rPh>
    <rPh sb="3" eb="5">
      <t>ネンド</t>
    </rPh>
    <phoneticPr fontId="3"/>
  </si>
  <si>
    <t>令和5年度(2023)</t>
    <rPh sb="0" eb="2">
      <t>レイワ</t>
    </rPh>
    <rPh sb="3" eb="5">
      <t>ネンド</t>
    </rPh>
    <phoneticPr fontId="3"/>
  </si>
  <si>
    <t>★給与所得者等が2人以上いる世帯については、基礎控除額（43万円）に、下記の金額が加算されます。</t>
    <rPh sb="1" eb="3">
      <t>キュウヨ</t>
    </rPh>
    <rPh sb="3" eb="6">
      <t>ショトクシャ</t>
    </rPh>
    <rPh sb="6" eb="7">
      <t>トウ</t>
    </rPh>
    <rPh sb="9" eb="10">
      <t>ニン</t>
    </rPh>
    <rPh sb="10" eb="12">
      <t>イジョウ</t>
    </rPh>
    <rPh sb="14" eb="16">
      <t>セタイ</t>
    </rPh>
    <rPh sb="22" eb="27">
      <t>キソコウジョガク</t>
    </rPh>
    <rPh sb="30" eb="32">
      <t>マンエン</t>
    </rPh>
    <rPh sb="35" eb="37">
      <t>カキ</t>
    </rPh>
    <rPh sb="38" eb="40">
      <t>キンガク</t>
    </rPh>
    <rPh sb="41" eb="43">
      <t>カサン</t>
    </rPh>
    <phoneticPr fontId="3"/>
  </si>
  <si>
    <t>（給与所得者等の数－１）×10万円</t>
    <rPh sb="1" eb="3">
      <t>キュウヨ</t>
    </rPh>
    <rPh sb="3" eb="5">
      <t>ショトク</t>
    </rPh>
    <rPh sb="5" eb="6">
      <t>シャ</t>
    </rPh>
    <rPh sb="6" eb="7">
      <t>トウ</t>
    </rPh>
    <rPh sb="8" eb="9">
      <t>カズ</t>
    </rPh>
    <rPh sb="15" eb="17">
      <t>マンエン</t>
    </rPh>
    <phoneticPr fontId="3"/>
  </si>
  <si>
    <t>≪令和3（2021）年度～≫</t>
    <rPh sb="1" eb="3">
      <t>レイワ</t>
    </rPh>
    <rPh sb="10" eb="12">
      <t>ネンド</t>
    </rPh>
    <phoneticPr fontId="3"/>
  </si>
  <si>
    <t>令和6年度(2024)</t>
    <rPh sb="0" eb="2">
      <t>レイワ</t>
    </rPh>
    <rPh sb="3" eb="5">
      <t>ネンド</t>
    </rPh>
    <phoneticPr fontId="3"/>
  </si>
  <si>
    <t>≪令和6（2024）年度～≫</t>
    <rPh sb="1" eb="3">
      <t>レイワ</t>
    </rPh>
    <rPh sb="10" eb="12">
      <t>ネンド</t>
    </rPh>
    <phoneticPr fontId="3"/>
  </si>
  <si>
    <t>※３ 基礎控除額（43万円）+29.5万円×世帯に属する被保険者数　を超えない世帯。</t>
    <rPh sb="3" eb="5">
      <t>キソ</t>
    </rPh>
    <rPh sb="5" eb="7">
      <t>コウジョ</t>
    </rPh>
    <rPh sb="7" eb="8">
      <t>ガク</t>
    </rPh>
    <rPh sb="11" eb="13">
      <t>マンエン</t>
    </rPh>
    <rPh sb="19" eb="21">
      <t>マンエン</t>
    </rPh>
    <rPh sb="22" eb="24">
      <t>セタイ</t>
    </rPh>
    <rPh sb="25" eb="26">
      <t>ゾク</t>
    </rPh>
    <rPh sb="28" eb="32">
      <t>ヒホケンシャ</t>
    </rPh>
    <rPh sb="32" eb="33">
      <t>スウ</t>
    </rPh>
    <rPh sb="35" eb="36">
      <t>コ</t>
    </rPh>
    <rPh sb="39" eb="41">
      <t>セタイ</t>
    </rPh>
    <phoneticPr fontId="3"/>
  </si>
  <si>
    <t>※４ 基礎控除額（43万円）+54.5万円×世帯に属する被保険者数　を超えない世帯。</t>
    <phoneticPr fontId="3"/>
  </si>
  <si>
    <t>令和7年度(2025)</t>
    <rPh sb="0" eb="2">
      <t>レイワ</t>
    </rPh>
    <rPh sb="3" eb="5">
      <t>ネンド</t>
    </rPh>
    <phoneticPr fontId="3"/>
  </si>
  <si>
    <t>令和7年度　後期高齢者医療保険料簡易計算書</t>
    <rPh sb="0" eb="2">
      <t>レイワ</t>
    </rPh>
    <rPh sb="3" eb="5">
      <t>ネンド</t>
    </rPh>
    <rPh sb="4" eb="5">
      <t>ド</t>
    </rPh>
    <phoneticPr fontId="4"/>
  </si>
  <si>
    <t>合計所得金額</t>
    <rPh sb="0" eb="6">
      <t>ゴウケイショトクキンガク</t>
    </rPh>
    <phoneticPr fontId="3"/>
  </si>
  <si>
    <t>万円以下</t>
    <rPh sb="0" eb="2">
      <t>マンエン</t>
    </rPh>
    <rPh sb="2" eb="4">
      <t>イカ</t>
    </rPh>
    <phoneticPr fontId="3"/>
  </si>
  <si>
    <t>基礎控除額</t>
    <rPh sb="0" eb="4">
      <t>キソコウジョ</t>
    </rPh>
    <rPh sb="4" eb="5">
      <t>ガク</t>
    </rPh>
    <phoneticPr fontId="3"/>
  </si>
  <si>
    <t>≪令和7（2025）年度～≫</t>
    <rPh sb="1" eb="3">
      <t>レイワ</t>
    </rPh>
    <rPh sb="10" eb="12">
      <t>ネンド</t>
    </rPh>
    <phoneticPr fontId="3"/>
  </si>
  <si>
    <t>※３ 基礎控除額（43万円）+30.5万円×世帯に属する被保険者数　を超えない世帯。</t>
    <rPh sb="3" eb="5">
      <t>キソ</t>
    </rPh>
    <rPh sb="5" eb="7">
      <t>コウジョ</t>
    </rPh>
    <rPh sb="7" eb="8">
      <t>ガク</t>
    </rPh>
    <rPh sb="11" eb="13">
      <t>マンエン</t>
    </rPh>
    <rPh sb="19" eb="21">
      <t>マンエン</t>
    </rPh>
    <rPh sb="22" eb="24">
      <t>セタイ</t>
    </rPh>
    <rPh sb="25" eb="26">
      <t>ゾク</t>
    </rPh>
    <rPh sb="28" eb="32">
      <t>ヒホケンシャ</t>
    </rPh>
    <rPh sb="32" eb="33">
      <t>スウ</t>
    </rPh>
    <rPh sb="35" eb="36">
      <t>コ</t>
    </rPh>
    <rPh sb="39" eb="41">
      <t>セタイ</t>
    </rPh>
    <phoneticPr fontId="3"/>
  </si>
  <si>
    <t>※４ 基礎控除額（43万円）+56万円×世帯に属する被保険者数　を超えない世帯。</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</si>
</sst>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Red]\-0\ "/>
    <numFmt numFmtId="177" formatCode="0.0_ "/>
    <numFmt numFmtId="178" formatCode="#,##0&quot;割&quot;\ "/>
    <numFmt numFmtId="179" formatCode="[$-411]ge\.m\.d;@"/>
    <numFmt numFmtId="180" formatCode="#,##0.0;[Red]\-#,##0.0"/>
    <numFmt numFmtId="181" formatCode="0_);[Red]\(0\)"/>
    <numFmt numFmtId="182" formatCode="0.00_ "/>
    <numFmt numFmtId="183" formatCode="#,##0&quot;円&quot;\ "/>
    <numFmt numFmtId="184" formatCode="0.0000_ "/>
    <numFmt numFmtId="185" formatCode="#,##0_);[Red]\(#,##0\)"/>
    <numFmt numFmtId="186" formatCode="#,##0&quot;万円&quot;\ "/>
    <numFmt numFmtId="187" formatCode="#,##0.0&quot;万円&quot;\ "/>
    <numFmt numFmtId="188" formatCode="#,##0_ ;[Red]\-#,##0\ "/>
  </numFmts>
  <fonts count="22">
    <font>
      <sz val="11"/>
      <color theme="1"/>
      <name val="游ゴシック"/>
      <family val="2"/>
      <charset val="128"/>
      <scheme val="minor"/>
    </font>
    <font>
      <sz val="11"/>
      <name val="ＭＳ Ｐゴシック"/>
      <family val="3"/>
      <charset val="128"/>
    </font>
    <font>
      <b/>
      <sz val="14"/>
      <name val="HG丸ｺﾞｼｯｸM-PRO"/>
      <family val="3"/>
      <charset val="128"/>
    </font>
    <font>
      <sz val="6"/>
      <name val="游ゴシック"/>
      <family val="2"/>
      <charset val="128"/>
      <scheme val="minor"/>
    </font>
    <font>
      <sz val="6"/>
      <name val="ＭＳ Ｐゴシック"/>
      <family val="3"/>
      <charset val="128"/>
    </font>
    <font>
      <sz val="11"/>
      <name val="HG丸ｺﾞｼｯｸM-PRO"/>
      <family val="3"/>
      <charset val="128"/>
    </font>
    <font>
      <b/>
      <sz val="16"/>
      <name val="HG丸ｺﾞｼｯｸM-PRO"/>
      <family val="3"/>
      <charset val="128"/>
    </font>
    <font>
      <sz val="16"/>
      <name val="HG丸ｺﾞｼｯｸM-PRO"/>
      <family val="3"/>
      <charset val="128"/>
    </font>
    <font>
      <b/>
      <sz val="9"/>
      <color indexed="81"/>
      <name val="MS P ゴシック"/>
      <family val="3"/>
      <charset val="128"/>
    </font>
    <font>
      <b/>
      <sz val="11"/>
      <color theme="1"/>
      <name val="游ゴシック"/>
      <family val="3"/>
      <charset val="128"/>
      <scheme val="minor"/>
    </font>
    <font>
      <b/>
      <sz val="11"/>
      <name val="HG丸ｺﾞｼｯｸM-PRO"/>
      <family val="3"/>
      <charset val="128"/>
    </font>
    <font>
      <b/>
      <sz val="24"/>
      <color theme="1"/>
      <name val="游ゴシック"/>
      <family val="3"/>
      <charset val="128"/>
      <scheme val="minor"/>
    </font>
    <font>
      <b/>
      <sz val="12"/>
      <color theme="1"/>
      <name val="游ゴシック"/>
      <family val="3"/>
      <charset val="128"/>
      <scheme val="minor"/>
    </font>
    <font>
      <sz val="11"/>
      <color theme="0"/>
      <name val="游ゴシック"/>
      <family val="2"/>
      <charset val="128"/>
      <scheme val="minor"/>
    </font>
    <font>
      <sz val="11"/>
      <name val="游ゴシック"/>
      <family val="2"/>
      <charset val="128"/>
      <scheme val="minor"/>
    </font>
    <font>
      <sz val="11"/>
      <name val="游ゴシック"/>
      <family val="3"/>
      <charset val="128"/>
      <scheme val="minor"/>
    </font>
    <font>
      <b/>
      <sz val="11"/>
      <color rgb="FFFF0000"/>
      <name val="游ゴシック"/>
      <family val="3"/>
      <charset val="128"/>
      <scheme val="minor"/>
    </font>
    <font>
      <sz val="11"/>
      <color theme="1"/>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b/>
      <sz val="11"/>
      <name val="游ゴシック"/>
      <family val="3"/>
      <charset val="128"/>
      <scheme val="minor"/>
    </font>
    <font>
      <sz val="11"/>
      <name val="游ゴシック"/>
      <family val="3"/>
      <charset val="128"/>
    </font>
  </fonts>
  <fills count="11">
    <fill>
      <patternFill patternType="none"/>
    </fill>
    <fill>
      <patternFill patternType="gray125"/>
    </fill>
    <fill>
      <patternFill patternType="solid">
        <fgColor indexed="44"/>
        <bgColor indexed="64"/>
      </patternFill>
    </fill>
    <fill>
      <patternFill patternType="solid">
        <fgColor rgb="FFFFFF99"/>
        <bgColor indexed="64"/>
      </patternFill>
    </fill>
    <fill>
      <patternFill patternType="solid">
        <fgColor rgb="FFFFFF00"/>
        <bgColor indexed="64"/>
      </patternFill>
    </fill>
    <fill>
      <patternFill patternType="solid">
        <fgColor rgb="FF00B0F0"/>
        <bgColor indexed="64"/>
      </patternFill>
    </fill>
    <fill>
      <patternFill patternType="solid">
        <fgColor rgb="FFFFC000"/>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
      <patternFill patternType="solid">
        <fgColor theme="5"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xf numFmtId="0" fontId="1" fillId="0" borderId="0"/>
  </cellStyleXfs>
  <cellXfs count="160">
    <xf numFmtId="0" fontId="0" fillId="0" borderId="0" xfId="0">
      <alignment vertical="center"/>
    </xf>
    <xf numFmtId="38" fontId="2" fillId="0" borderId="0" xfId="1" applyFont="1" applyFill="1" applyAlignment="1" applyProtection="1">
      <alignment vertical="center"/>
    </xf>
    <xf numFmtId="38" fontId="5" fillId="0" borderId="0" xfId="1" applyFont="1" applyFill="1" applyAlignment="1" applyProtection="1">
      <alignment vertical="center"/>
    </xf>
    <xf numFmtId="38" fontId="6" fillId="0" borderId="0" xfId="1" applyFont="1" applyFill="1" applyAlignment="1" applyProtection="1">
      <alignment vertical="center"/>
    </xf>
    <xf numFmtId="38" fontId="7" fillId="0" borderId="0" xfId="1" applyFont="1" applyFill="1" applyAlignment="1" applyProtection="1">
      <alignment vertical="center"/>
    </xf>
    <xf numFmtId="38" fontId="5" fillId="0" borderId="0" xfId="1" applyFont="1" applyFill="1" applyBorder="1" applyAlignment="1" applyProtection="1">
      <alignment vertical="center"/>
    </xf>
    <xf numFmtId="38" fontId="5" fillId="0" borderId="0" xfId="1" applyFont="1" applyFill="1" applyBorder="1" applyAlignment="1" applyProtection="1">
      <alignment vertical="center" wrapText="1"/>
    </xf>
    <xf numFmtId="178" fontId="5" fillId="0" borderId="4" xfId="1" applyNumberFormat="1" applyFont="1" applyFill="1" applyBorder="1" applyAlignment="1" applyProtection="1">
      <alignment vertical="center"/>
    </xf>
    <xf numFmtId="0" fontId="5" fillId="0" borderId="0" xfId="1" applyNumberFormat="1" applyFont="1" applyFill="1" applyBorder="1" applyAlignment="1" applyProtection="1">
      <alignment vertical="center"/>
    </xf>
    <xf numFmtId="179" fontId="5" fillId="0" borderId="0" xfId="1" applyNumberFormat="1" applyFont="1" applyFill="1" applyBorder="1" applyAlignment="1" applyProtection="1">
      <alignment vertical="center"/>
    </xf>
    <xf numFmtId="38" fontId="0" fillId="0" borderId="1" xfId="1" applyFont="1" applyBorder="1" applyAlignment="1">
      <alignment vertical="center"/>
    </xf>
    <xf numFmtId="38" fontId="0" fillId="0" borderId="0" xfId="1" applyFont="1" applyAlignment="1">
      <alignment vertical="center"/>
    </xf>
    <xf numFmtId="0" fontId="0" fillId="0" borderId="1" xfId="0" applyBorder="1">
      <alignment vertical="center"/>
    </xf>
    <xf numFmtId="9" fontId="0" fillId="0" borderId="1" xfId="0" applyNumberFormat="1" applyBorder="1">
      <alignment vertical="center"/>
    </xf>
    <xf numFmtId="0" fontId="0" fillId="0" borderId="1" xfId="0" applyBorder="1" applyAlignment="1">
      <alignment horizontal="center" vertical="center"/>
    </xf>
    <xf numFmtId="180" fontId="0" fillId="0" borderId="1" xfId="1" applyNumberFormat="1" applyFont="1" applyBorder="1" applyAlignment="1">
      <alignment vertical="center"/>
    </xf>
    <xf numFmtId="40" fontId="0" fillId="0" borderId="1" xfId="1" applyNumberFormat="1" applyFont="1" applyBorder="1" applyAlignment="1">
      <alignment vertical="center"/>
    </xf>
    <xf numFmtId="38" fontId="0" fillId="4" borderId="1" xfId="1" applyFont="1" applyFill="1" applyBorder="1" applyAlignment="1" applyProtection="1">
      <alignment vertical="center"/>
      <protection locked="0"/>
    </xf>
    <xf numFmtId="38" fontId="9" fillId="0" borderId="1" xfId="0" applyNumberFormat="1" applyFont="1" applyBorder="1">
      <alignment vertical="center"/>
    </xf>
    <xf numFmtId="0" fontId="11" fillId="0" borderId="0" xfId="0" applyFont="1">
      <alignment vertical="center"/>
    </xf>
    <xf numFmtId="0" fontId="12" fillId="0" borderId="0" xfId="0" applyFont="1">
      <alignment vertical="center"/>
    </xf>
    <xf numFmtId="38" fontId="13" fillId="0" borderId="1" xfId="1" applyFont="1" applyBorder="1" applyAlignment="1">
      <alignment vertical="center"/>
    </xf>
    <xf numFmtId="0" fontId="14" fillId="0" borderId="0" xfId="0" applyFont="1">
      <alignment vertical="center"/>
    </xf>
    <xf numFmtId="38" fontId="14" fillId="0" borderId="1" xfId="1" applyFont="1" applyBorder="1" applyAlignment="1">
      <alignment vertical="center"/>
    </xf>
    <xf numFmtId="38" fontId="14" fillId="0" borderId="0" xfId="1" applyFont="1" applyAlignment="1">
      <alignment vertical="center"/>
    </xf>
    <xf numFmtId="0" fontId="14" fillId="0" borderId="1" xfId="0" applyFont="1" applyBorder="1">
      <alignment vertical="center"/>
    </xf>
    <xf numFmtId="183" fontId="0" fillId="0" borderId="0" xfId="1" applyNumberFormat="1" applyFont="1" applyAlignment="1">
      <alignment vertical="center"/>
    </xf>
    <xf numFmtId="10" fontId="0" fillId="0" borderId="0" xfId="0" applyNumberFormat="1">
      <alignment vertical="center"/>
    </xf>
    <xf numFmtId="0" fontId="0" fillId="0" borderId="1" xfId="0" applyBorder="1" applyAlignment="1"/>
    <xf numFmtId="184" fontId="0" fillId="0" borderId="1" xfId="0" applyNumberFormat="1" applyBorder="1" applyAlignment="1"/>
    <xf numFmtId="185" fontId="0" fillId="0" borderId="1" xfId="1" applyNumberFormat="1" applyFont="1" applyBorder="1" applyAlignment="1">
      <alignment horizontal="right"/>
    </xf>
    <xf numFmtId="186" fontId="0" fillId="0" borderId="0" xfId="1" applyNumberFormat="1" applyFont="1" applyAlignment="1">
      <alignment vertical="center"/>
    </xf>
    <xf numFmtId="186" fontId="0" fillId="0" borderId="1" xfId="1" applyNumberFormat="1" applyFont="1" applyBorder="1" applyAlignment="1">
      <alignment vertical="center"/>
    </xf>
    <xf numFmtId="183" fontId="0" fillId="0" borderId="1" xfId="1" applyNumberFormat="1" applyFont="1" applyBorder="1" applyAlignment="1">
      <alignment vertical="center"/>
    </xf>
    <xf numFmtId="10" fontId="0" fillId="0" borderId="1" xfId="0" applyNumberFormat="1" applyBorder="1">
      <alignment vertical="center"/>
    </xf>
    <xf numFmtId="187" fontId="0" fillId="0" borderId="1" xfId="1" applyNumberFormat="1" applyFont="1" applyBorder="1" applyAlignment="1">
      <alignment horizontal="right" vertical="center"/>
    </xf>
    <xf numFmtId="0" fontId="15" fillId="0" borderId="0" xfId="0" applyFont="1">
      <alignment vertical="center"/>
    </xf>
    <xf numFmtId="0" fontId="0" fillId="4" borderId="1" xfId="0" applyFill="1" applyBorder="1" applyAlignment="1">
      <alignment horizontal="center" vertical="center"/>
    </xf>
    <xf numFmtId="38" fontId="0" fillId="0" borderId="0" xfId="1" applyFont="1" applyBorder="1" applyAlignment="1">
      <alignment vertical="center"/>
    </xf>
    <xf numFmtId="40" fontId="0" fillId="0" borderId="0" xfId="1" applyNumberFormat="1" applyFont="1" applyBorder="1" applyAlignment="1">
      <alignment vertical="center"/>
    </xf>
    <xf numFmtId="38" fontId="0" fillId="0" borderId="1" xfId="1" quotePrefix="1" applyFont="1" applyBorder="1" applyAlignment="1">
      <alignment vertical="center"/>
    </xf>
    <xf numFmtId="38" fontId="9" fillId="0" borderId="0" xfId="1" applyFont="1" applyAlignment="1">
      <alignment vertical="center"/>
    </xf>
    <xf numFmtId="38" fontId="17" fillId="0" borderId="0" xfId="1" applyFont="1" applyAlignment="1">
      <alignment vertical="center"/>
    </xf>
    <xf numFmtId="38" fontId="17" fillId="0" borderId="0" xfId="1" applyFont="1" applyFill="1" applyBorder="1" applyAlignment="1">
      <alignment vertical="center"/>
    </xf>
    <xf numFmtId="38" fontId="9" fillId="0" borderId="1" xfId="1" applyFont="1" applyFill="1" applyBorder="1" applyAlignment="1">
      <alignment horizontal="center" vertical="center"/>
    </xf>
    <xf numFmtId="38" fontId="0" fillId="0" borderId="1" xfId="1" applyFont="1" applyBorder="1" applyAlignment="1">
      <alignment horizontal="center" vertical="center"/>
    </xf>
    <xf numFmtId="0" fontId="0" fillId="8" borderId="2" xfId="0" applyFill="1" applyBorder="1" applyAlignment="1">
      <alignment horizontal="left" vertical="center"/>
    </xf>
    <xf numFmtId="0" fontId="0" fillId="8" borderId="3" xfId="0" applyFill="1" applyBorder="1" applyAlignment="1">
      <alignment horizontal="left" vertical="center"/>
    </xf>
    <xf numFmtId="0" fontId="0" fillId="8" borderId="4" xfId="0" applyFill="1" applyBorder="1" applyAlignment="1">
      <alignment horizontal="left" vertical="center"/>
    </xf>
    <xf numFmtId="38" fontId="0" fillId="0" borderId="1" xfId="1" applyFont="1" applyBorder="1" applyAlignment="1" applyProtection="1">
      <alignment horizontal="center" vertical="center"/>
    </xf>
    <xf numFmtId="38" fontId="14" fillId="0" borderId="1" xfId="1" applyFont="1" applyBorder="1" applyAlignment="1">
      <alignment horizontal="center" vertical="center"/>
    </xf>
    <xf numFmtId="38" fontId="0" fillId="0" borderId="0" xfId="1" applyFont="1" applyAlignment="1">
      <alignment horizontal="center" vertical="center"/>
    </xf>
    <xf numFmtId="0" fontId="0" fillId="0" borderId="0" xfId="0" applyAlignment="1">
      <alignment horizontal="center" vertical="center"/>
    </xf>
    <xf numFmtId="0" fontId="18" fillId="0" borderId="1" xfId="0" applyFont="1" applyBorder="1">
      <alignment vertical="center"/>
    </xf>
    <xf numFmtId="183" fontId="19" fillId="0" borderId="1" xfId="1" applyNumberFormat="1" applyFont="1" applyBorder="1" applyAlignment="1">
      <alignment vertical="center"/>
    </xf>
    <xf numFmtId="10" fontId="19" fillId="0" borderId="1" xfId="0" applyNumberFormat="1" applyFont="1" applyBorder="1">
      <alignment vertical="center"/>
    </xf>
    <xf numFmtId="186" fontId="19" fillId="0" borderId="1" xfId="1" applyNumberFormat="1" applyFont="1" applyBorder="1" applyAlignment="1">
      <alignment vertical="center"/>
    </xf>
    <xf numFmtId="0" fontId="19" fillId="0" borderId="1" xfId="0" applyFont="1" applyBorder="1" applyAlignment="1">
      <alignment horizontal="center" vertical="center"/>
    </xf>
    <xf numFmtId="187" fontId="19" fillId="0" borderId="1" xfId="1" applyNumberFormat="1" applyFont="1" applyBorder="1" applyAlignment="1">
      <alignment horizontal="right" vertical="center"/>
    </xf>
    <xf numFmtId="0" fontId="19" fillId="0" borderId="0" xfId="0" applyFont="1">
      <alignment vertical="center"/>
    </xf>
    <xf numFmtId="38" fontId="0" fillId="0" borderId="0" xfId="1" applyFont="1" applyFill="1" applyAlignment="1">
      <alignment vertical="center"/>
    </xf>
    <xf numFmtId="38" fontId="18" fillId="0" borderId="0" xfId="1" applyFont="1" applyAlignment="1">
      <alignment vertical="center"/>
    </xf>
    <xf numFmtId="0" fontId="15" fillId="0" borderId="1" xfId="0" applyFont="1" applyBorder="1">
      <alignment vertical="center"/>
    </xf>
    <xf numFmtId="183" fontId="15" fillId="0" borderId="1" xfId="1" applyNumberFormat="1" applyFont="1" applyBorder="1" applyAlignment="1">
      <alignment vertical="center"/>
    </xf>
    <xf numFmtId="10" fontId="15" fillId="0" borderId="1" xfId="0" applyNumberFormat="1" applyFont="1" applyBorder="1">
      <alignment vertical="center"/>
    </xf>
    <xf numFmtId="186" fontId="15" fillId="0" borderId="1" xfId="1" applyNumberFormat="1" applyFont="1" applyBorder="1" applyAlignment="1">
      <alignment vertical="center"/>
    </xf>
    <xf numFmtId="0" fontId="15" fillId="0" borderId="1" xfId="0" applyFont="1" applyBorder="1" applyAlignment="1">
      <alignment horizontal="center" vertical="center"/>
    </xf>
    <xf numFmtId="187" fontId="15" fillId="0" borderId="1" xfId="1" applyNumberFormat="1" applyFont="1" applyBorder="1" applyAlignment="1">
      <alignment horizontal="right" vertical="center"/>
    </xf>
    <xf numFmtId="0" fontId="16" fillId="0" borderId="0" xfId="0" applyFont="1">
      <alignment vertical="center"/>
    </xf>
    <xf numFmtId="0" fontId="20" fillId="0" borderId="0" xfId="0" applyFont="1">
      <alignment vertical="center"/>
    </xf>
    <xf numFmtId="0" fontId="0" fillId="4" borderId="1" xfId="0" applyFill="1" applyBorder="1" applyAlignment="1" applyProtection="1">
      <alignment horizontal="center" vertical="center"/>
      <protection locked="0"/>
    </xf>
    <xf numFmtId="179" fontId="0" fillId="7" borderId="1" xfId="1" applyNumberFormat="1" applyFont="1" applyFill="1" applyBorder="1" applyAlignment="1">
      <alignment horizontal="center" vertical="center"/>
    </xf>
    <xf numFmtId="181" fontId="0" fillId="4" borderId="1" xfId="0" applyNumberFormat="1" applyFill="1" applyBorder="1" applyAlignment="1" applyProtection="1">
      <alignment horizontal="center" vertical="center"/>
      <protection locked="0"/>
    </xf>
    <xf numFmtId="179" fontId="0" fillId="10" borderId="1" xfId="1" applyNumberFormat="1" applyFont="1" applyFill="1" applyBorder="1" applyAlignment="1" applyProtection="1">
      <alignment horizontal="center" vertical="center"/>
      <protection locked="0"/>
    </xf>
    <xf numFmtId="179" fontId="0" fillId="9" borderId="1" xfId="1" applyNumberFormat="1" applyFont="1" applyFill="1" applyBorder="1" applyAlignment="1" applyProtection="1">
      <alignment horizontal="center" vertical="center"/>
      <protection locked="0"/>
    </xf>
    <xf numFmtId="38" fontId="0" fillId="0" borderId="1" xfId="0" applyNumberFormat="1" applyBorder="1" applyAlignment="1">
      <alignment horizontal="center" vertical="center"/>
    </xf>
    <xf numFmtId="181" fontId="0" fillId="0" borderId="1" xfId="0" applyNumberFormat="1" applyBorder="1" applyAlignment="1">
      <alignment horizontal="center" vertical="center"/>
    </xf>
    <xf numFmtId="0" fontId="21" fillId="0" borderId="1" xfId="0" applyFont="1" applyBorder="1">
      <alignment vertical="center"/>
    </xf>
    <xf numFmtId="183" fontId="21" fillId="0" borderId="1" xfId="1" applyNumberFormat="1" applyFont="1" applyFill="1" applyBorder="1" applyAlignment="1">
      <alignment vertical="center"/>
    </xf>
    <xf numFmtId="10" fontId="21" fillId="0" borderId="1" xfId="0" applyNumberFormat="1" applyFont="1" applyBorder="1">
      <alignment vertical="center"/>
    </xf>
    <xf numFmtId="186" fontId="21" fillId="0" borderId="1" xfId="1" applyNumberFormat="1" applyFont="1" applyFill="1" applyBorder="1" applyAlignment="1">
      <alignment vertical="center"/>
    </xf>
    <xf numFmtId="0" fontId="21" fillId="0" borderId="1" xfId="0" applyFont="1" applyBorder="1" applyAlignment="1">
      <alignment horizontal="center" vertical="center"/>
    </xf>
    <xf numFmtId="187" fontId="21" fillId="0" borderId="1" xfId="1" applyNumberFormat="1" applyFont="1" applyFill="1" applyBorder="1" applyAlignment="1">
      <alignment horizontal="right" vertical="center"/>
    </xf>
    <xf numFmtId="38" fontId="0" fillId="0" borderId="1" xfId="1" applyFont="1" applyBorder="1" applyAlignment="1">
      <alignment vertical="center" shrinkToFit="1"/>
    </xf>
    <xf numFmtId="183" fontId="0" fillId="0" borderId="1" xfId="1" applyNumberFormat="1" applyFont="1" applyBorder="1" applyAlignment="1">
      <alignment vertical="center" shrinkToFit="1"/>
    </xf>
    <xf numFmtId="38" fontId="0" fillId="0" borderId="1" xfId="1" applyFont="1" applyBorder="1" applyAlignment="1">
      <alignment horizontal="center" vertical="center" shrinkToFit="1"/>
    </xf>
    <xf numFmtId="38" fontId="5" fillId="3" borderId="1" xfId="1" applyFont="1" applyFill="1" applyBorder="1" applyAlignment="1" applyProtection="1">
      <alignment horizontal="center" vertical="center" wrapText="1"/>
    </xf>
    <xf numFmtId="38" fontId="5" fillId="3" borderId="1" xfId="1" applyFont="1" applyFill="1" applyBorder="1" applyAlignment="1" applyProtection="1">
      <alignment horizontal="center" vertical="center"/>
    </xf>
    <xf numFmtId="38" fontId="5" fillId="0" borderId="1" xfId="1" applyFont="1" applyFill="1" applyBorder="1" applyAlignment="1" applyProtection="1">
      <alignment horizontal="center" vertical="center"/>
    </xf>
    <xf numFmtId="38" fontId="5" fillId="3" borderId="2" xfId="1" applyFont="1" applyFill="1" applyBorder="1" applyAlignment="1" applyProtection="1">
      <alignment horizontal="center" vertical="center" wrapText="1"/>
    </xf>
    <xf numFmtId="38" fontId="5" fillId="3" borderId="3" xfId="1" applyFont="1" applyFill="1" applyBorder="1" applyAlignment="1" applyProtection="1">
      <alignment horizontal="center" vertical="center" wrapText="1"/>
    </xf>
    <xf numFmtId="38" fontId="5" fillId="3" borderId="4" xfId="1" applyFont="1" applyFill="1" applyBorder="1" applyAlignment="1" applyProtection="1">
      <alignment horizontal="center" vertical="center" wrapText="1"/>
    </xf>
    <xf numFmtId="182" fontId="5" fillId="0" borderId="2" xfId="1" applyNumberFormat="1" applyFont="1" applyFill="1" applyBorder="1" applyAlignment="1" applyProtection="1">
      <alignment horizontal="center" vertical="center"/>
    </xf>
    <xf numFmtId="182" fontId="5" fillId="0" borderId="3" xfId="1" applyNumberFormat="1" applyFont="1" applyFill="1" applyBorder="1" applyAlignment="1" applyProtection="1">
      <alignment horizontal="center" vertical="center"/>
    </xf>
    <xf numFmtId="38" fontId="5" fillId="6" borderId="2" xfId="1" applyFont="1" applyFill="1" applyBorder="1" applyAlignment="1" applyProtection="1">
      <alignment horizontal="center" vertical="center" wrapText="1"/>
    </xf>
    <xf numFmtId="38" fontId="5" fillId="6" borderId="3" xfId="1" applyFont="1" applyFill="1" applyBorder="1" applyAlignment="1" applyProtection="1">
      <alignment horizontal="center" vertical="center" wrapText="1"/>
    </xf>
    <xf numFmtId="38" fontId="5" fillId="6" borderId="4" xfId="1" applyFont="1" applyFill="1" applyBorder="1" applyAlignment="1" applyProtection="1">
      <alignment horizontal="center" vertical="center" wrapText="1"/>
    </xf>
    <xf numFmtId="38" fontId="5" fillId="0" borderId="1" xfId="1" applyFont="1" applyFill="1" applyBorder="1" applyAlignment="1" applyProtection="1">
      <alignment horizontal="center" vertical="center" wrapText="1"/>
    </xf>
    <xf numFmtId="38" fontId="5" fillId="0" borderId="2" xfId="1" applyFont="1" applyFill="1" applyBorder="1" applyAlignment="1" applyProtection="1">
      <alignment horizontal="center" vertical="center"/>
    </xf>
    <xf numFmtId="38" fontId="5" fillId="0" borderId="3" xfId="1" applyFont="1" applyFill="1" applyBorder="1" applyAlignment="1" applyProtection="1">
      <alignment horizontal="center" vertical="center"/>
    </xf>
    <xf numFmtId="38" fontId="5" fillId="0" borderId="4" xfId="1" applyFont="1" applyFill="1" applyBorder="1" applyAlignment="1" applyProtection="1">
      <alignment horizontal="center" vertical="center"/>
    </xf>
    <xf numFmtId="188" fontId="5" fillId="0" borderId="1" xfId="1" applyNumberFormat="1" applyFont="1" applyFill="1" applyBorder="1" applyAlignment="1" applyProtection="1">
      <alignment horizontal="center" vertical="center"/>
    </xf>
    <xf numFmtId="10" fontId="5" fillId="0" borderId="1" xfId="1" applyNumberFormat="1" applyFont="1" applyFill="1" applyBorder="1" applyAlignment="1" applyProtection="1">
      <alignment horizontal="center" vertical="center"/>
    </xf>
    <xf numFmtId="10" fontId="5" fillId="0" borderId="2" xfId="1" applyNumberFormat="1" applyFont="1" applyFill="1" applyBorder="1" applyAlignment="1" applyProtection="1">
      <alignment horizontal="center" vertical="center"/>
    </xf>
    <xf numFmtId="177" fontId="5" fillId="0" borderId="2" xfId="1" applyNumberFormat="1" applyFont="1" applyFill="1" applyBorder="1" applyAlignment="1" applyProtection="1">
      <alignment horizontal="center" vertical="center"/>
    </xf>
    <xf numFmtId="177" fontId="5" fillId="0" borderId="3" xfId="1" applyNumberFormat="1" applyFont="1" applyFill="1" applyBorder="1" applyAlignment="1" applyProtection="1">
      <alignment horizontal="center" vertical="center"/>
    </xf>
    <xf numFmtId="38" fontId="5" fillId="3" borderId="2" xfId="1" applyFont="1" applyFill="1" applyBorder="1" applyAlignment="1" applyProtection="1">
      <alignment horizontal="center" vertical="center"/>
    </xf>
    <xf numFmtId="38" fontId="5" fillId="3" borderId="3" xfId="1" applyFont="1" applyFill="1" applyBorder="1" applyAlignment="1" applyProtection="1">
      <alignment horizontal="center" vertical="center"/>
    </xf>
    <xf numFmtId="38" fontId="5" fillId="3" borderId="4" xfId="1" applyFont="1" applyFill="1" applyBorder="1" applyAlignment="1" applyProtection="1">
      <alignment horizontal="center" vertical="center"/>
    </xf>
    <xf numFmtId="38" fontId="5" fillId="3" borderId="6" xfId="1" applyFont="1" applyFill="1" applyBorder="1" applyAlignment="1" applyProtection="1">
      <alignment horizontal="center" vertical="center" wrapText="1"/>
    </xf>
    <xf numFmtId="38" fontId="5" fillId="3" borderId="7" xfId="1" applyFont="1" applyFill="1" applyBorder="1" applyAlignment="1" applyProtection="1">
      <alignment horizontal="center" vertical="center" wrapText="1"/>
    </xf>
    <xf numFmtId="38" fontId="5" fillId="3" borderId="8" xfId="1" applyFont="1" applyFill="1" applyBorder="1" applyAlignment="1" applyProtection="1">
      <alignment horizontal="center" vertical="center" wrapText="1"/>
    </xf>
    <xf numFmtId="38" fontId="5" fillId="3" borderId="9" xfId="1" applyFont="1" applyFill="1" applyBorder="1" applyAlignment="1" applyProtection="1">
      <alignment horizontal="center" vertical="center" wrapText="1"/>
    </xf>
    <xf numFmtId="38" fontId="5" fillId="3" borderId="5" xfId="1" applyFont="1" applyFill="1" applyBorder="1" applyAlignment="1" applyProtection="1">
      <alignment horizontal="center" vertical="center" wrapText="1"/>
    </xf>
    <xf numFmtId="38" fontId="5" fillId="3" borderId="10" xfId="1" applyFont="1" applyFill="1" applyBorder="1" applyAlignment="1" applyProtection="1">
      <alignment horizontal="center" vertical="center" wrapText="1"/>
    </xf>
    <xf numFmtId="179" fontId="5" fillId="3" borderId="2" xfId="1" applyNumberFormat="1" applyFont="1" applyFill="1" applyBorder="1" applyAlignment="1" applyProtection="1">
      <alignment horizontal="center" vertical="center" wrapText="1"/>
    </xf>
    <xf numFmtId="179" fontId="5" fillId="3" borderId="3" xfId="1" applyNumberFormat="1" applyFont="1" applyFill="1" applyBorder="1" applyAlignment="1" applyProtection="1">
      <alignment horizontal="center" vertical="center" wrapText="1"/>
    </xf>
    <xf numFmtId="179" fontId="5" fillId="3" borderId="4" xfId="1" applyNumberFormat="1" applyFont="1" applyFill="1" applyBorder="1" applyAlignment="1" applyProtection="1">
      <alignment horizontal="center" vertical="center" wrapText="1"/>
    </xf>
    <xf numFmtId="0" fontId="5" fillId="6" borderId="1" xfId="1" applyNumberFormat="1" applyFont="1" applyFill="1" applyBorder="1" applyAlignment="1" applyProtection="1">
      <alignment horizontal="center" vertical="center"/>
    </xf>
    <xf numFmtId="179" fontId="5" fillId="0" borderId="1" xfId="1" applyNumberFormat="1" applyFont="1" applyFill="1" applyBorder="1" applyAlignment="1" applyProtection="1">
      <alignment horizontal="center" vertical="center"/>
    </xf>
    <xf numFmtId="179" fontId="5" fillId="4" borderId="1" xfId="1" applyNumberFormat="1" applyFont="1" applyFill="1" applyBorder="1" applyAlignment="1" applyProtection="1">
      <alignment horizontal="center" vertical="center"/>
      <protection locked="0"/>
    </xf>
    <xf numFmtId="0" fontId="5" fillId="0" borderId="1" xfId="1" applyNumberFormat="1" applyFont="1" applyFill="1" applyBorder="1" applyAlignment="1" applyProtection="1">
      <alignment horizontal="center" vertical="center"/>
    </xf>
    <xf numFmtId="38" fontId="5" fillId="2" borderId="1" xfId="1" applyFont="1" applyFill="1" applyBorder="1" applyAlignment="1" applyProtection="1">
      <alignment horizontal="center" vertical="center"/>
      <protection locked="0"/>
    </xf>
    <xf numFmtId="176" fontId="5" fillId="2" borderId="1" xfId="1" applyNumberFormat="1" applyFont="1" applyFill="1" applyBorder="1" applyAlignment="1" applyProtection="1">
      <alignment horizontal="center" vertical="center"/>
      <protection locked="0"/>
    </xf>
    <xf numFmtId="38" fontId="5" fillId="0" borderId="0" xfId="1" applyFont="1" applyFill="1" applyBorder="1" applyAlignment="1" applyProtection="1">
      <alignment horizontal="center" vertical="center"/>
    </xf>
    <xf numFmtId="38" fontId="5" fillId="4" borderId="1" xfId="1" applyFont="1" applyFill="1" applyBorder="1" applyAlignment="1" applyProtection="1">
      <alignment horizontal="center" vertical="center"/>
      <protection locked="0"/>
    </xf>
    <xf numFmtId="38" fontId="5" fillId="0" borderId="0" xfId="1" applyFont="1" applyFill="1" applyAlignment="1" applyProtection="1">
      <alignment horizontal="center" vertical="center"/>
    </xf>
    <xf numFmtId="179" fontId="5" fillId="6" borderId="1" xfId="1" applyNumberFormat="1" applyFont="1" applyFill="1" applyBorder="1" applyAlignment="1" applyProtection="1">
      <alignment horizontal="center" vertical="center"/>
    </xf>
    <xf numFmtId="38" fontId="0" fillId="0" borderId="2" xfId="1" applyFont="1" applyBorder="1" applyAlignment="1">
      <alignment horizontal="left" vertical="center" shrinkToFit="1"/>
    </xf>
    <xf numFmtId="38" fontId="0" fillId="0" borderId="3" xfId="1" applyFont="1" applyBorder="1" applyAlignment="1">
      <alignment horizontal="left" vertical="center" shrinkToFit="1"/>
    </xf>
    <xf numFmtId="38" fontId="0" fillId="0" borderId="4" xfId="1" applyFont="1" applyBorder="1" applyAlignment="1">
      <alignment horizontal="left" vertical="center" shrinkToFit="1"/>
    </xf>
    <xf numFmtId="0" fontId="0" fillId="5" borderId="1" xfId="0" applyFill="1" applyBorder="1" applyAlignment="1">
      <alignment horizontal="left" vertical="center"/>
    </xf>
    <xf numFmtId="38" fontId="0" fillId="0" borderId="2" xfId="1" applyFont="1" applyBorder="1" applyAlignment="1">
      <alignment horizontal="center" vertical="center"/>
    </xf>
    <xf numFmtId="38" fontId="0" fillId="0" borderId="3" xfId="1" applyFont="1" applyBorder="1" applyAlignment="1">
      <alignment horizontal="center" vertical="center"/>
    </xf>
    <xf numFmtId="38" fontId="0" fillId="0" borderId="4" xfId="1" applyFont="1" applyBorder="1" applyAlignment="1">
      <alignment horizontal="center" vertical="center"/>
    </xf>
    <xf numFmtId="0" fontId="0" fillId="6" borderId="2" xfId="0" applyFill="1" applyBorder="1" applyAlignment="1">
      <alignment horizontal="left" vertical="center"/>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8" borderId="2" xfId="0" applyFill="1" applyBorder="1" applyAlignment="1">
      <alignment horizontal="left" vertical="center"/>
    </xf>
    <xf numFmtId="0" fontId="0" fillId="8" borderId="3" xfId="0" applyFill="1" applyBorder="1" applyAlignment="1">
      <alignment horizontal="left" vertical="center"/>
    </xf>
    <xf numFmtId="0" fontId="0" fillId="8" borderId="4" xfId="0" applyFill="1" applyBorder="1" applyAlignment="1">
      <alignment horizontal="left" vertical="center"/>
    </xf>
    <xf numFmtId="38" fontId="0" fillId="0" borderId="1" xfId="1" applyFont="1" applyBorder="1" applyAlignment="1">
      <alignment horizontal="center" vertical="center"/>
    </xf>
    <xf numFmtId="0" fontId="9" fillId="0" borderId="1" xfId="0" applyFont="1" applyBorder="1" applyAlignment="1">
      <alignment horizontal="center" vertical="center"/>
    </xf>
    <xf numFmtId="38" fontId="0" fillId="0" borderId="2" xfId="1" applyFont="1" applyBorder="1" applyAlignment="1">
      <alignment horizontal="center" vertical="center" shrinkToFit="1"/>
    </xf>
    <xf numFmtId="38" fontId="0" fillId="0" borderId="3" xfId="1" applyFont="1" applyBorder="1" applyAlignment="1">
      <alignment horizontal="center" vertical="center" shrinkToFit="1"/>
    </xf>
    <xf numFmtId="38" fontId="0" fillId="0" borderId="4" xfId="1" applyFont="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wrapText="1"/>
    </xf>
    <xf numFmtId="38" fontId="0" fillId="0" borderId="6" xfId="1" applyFont="1" applyBorder="1" applyAlignment="1">
      <alignment horizontal="center" vertical="center"/>
    </xf>
    <xf numFmtId="38" fontId="0" fillId="0" borderId="7" xfId="1" applyFont="1" applyBorder="1" applyAlignment="1">
      <alignment horizontal="center" vertical="center"/>
    </xf>
    <xf numFmtId="38" fontId="0" fillId="0" borderId="8" xfId="1" applyFont="1" applyBorder="1" applyAlignment="1">
      <alignment horizontal="center" vertical="center"/>
    </xf>
    <xf numFmtId="38" fontId="0" fillId="0" borderId="9" xfId="1" applyFont="1" applyBorder="1" applyAlignment="1">
      <alignment horizontal="center" vertical="center"/>
    </xf>
    <xf numFmtId="38" fontId="0" fillId="0" borderId="5" xfId="1" applyFont="1" applyBorder="1" applyAlignment="1">
      <alignment horizontal="center" vertical="center"/>
    </xf>
    <xf numFmtId="38" fontId="0" fillId="0" borderId="10" xfId="1" applyFont="1" applyBorder="1" applyAlignment="1">
      <alignment horizontal="center" vertical="center"/>
    </xf>
    <xf numFmtId="0" fontId="0" fillId="0" borderId="1" xfId="0" applyBorder="1" applyAlignment="1">
      <alignment horizontal="center" vertical="center"/>
    </xf>
  </cellXfs>
  <cellStyles count="3">
    <cellStyle name="桁区切り" xfId="1" builtinId="6"/>
    <cellStyle name="標準" xfId="0" builtinId="0"/>
    <cellStyle name="標準 2" xfId="2" xr:uid="{00000000-0005-0000-0000-000002000000}"/>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15874</xdr:colOff>
      <xdr:row>29</xdr:row>
      <xdr:rowOff>55560</xdr:rowOff>
    </xdr:from>
    <xdr:to>
      <xdr:col>26</xdr:col>
      <xdr:colOff>119063</xdr:colOff>
      <xdr:row>35</xdr:row>
      <xdr:rowOff>59529</xdr:rowOff>
    </xdr:to>
    <xdr:sp macro="" textlink="">
      <xdr:nvSpPr>
        <xdr:cNvPr id="2" name="テキスト ボックス 1">
          <a:extLst>
            <a:ext uri="{FF2B5EF4-FFF2-40B4-BE49-F238E27FC236}">
              <a16:creationId xmlns:a16="http://schemas.microsoft.com/office/drawing/2014/main" id="{66FFCCC5-3FAB-E8A0-F01F-B1B740736290}"/>
            </a:ext>
          </a:extLst>
        </xdr:cNvPr>
        <xdr:cNvSpPr txBox="1"/>
      </xdr:nvSpPr>
      <xdr:spPr>
        <a:xfrm>
          <a:off x="492124" y="10699748"/>
          <a:ext cx="5877720" cy="2004219"/>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b="1"/>
            <a:t>【</a:t>
          </a:r>
          <a:r>
            <a:rPr kumimoji="1" lang="ja-JP" altLang="en-US" sz="1200" b="1"/>
            <a:t>簡易計算書で算出された年間保険料額についての取扱いについて</a:t>
          </a:r>
          <a:r>
            <a:rPr kumimoji="1" lang="en-US" altLang="ja-JP" sz="1200" b="1"/>
            <a:t>】</a:t>
          </a:r>
        </a:p>
        <a:p>
          <a:endParaRPr kumimoji="1" lang="en-US" altLang="ja-JP" sz="1200" b="1"/>
        </a:p>
        <a:p>
          <a:r>
            <a:rPr kumimoji="1" lang="ja-JP" altLang="en-US" sz="1200" b="1"/>
            <a:t>本簡易計算書は今後の法改正事項を考慮した仕様とはなっていないことから、</a:t>
          </a:r>
          <a:endParaRPr kumimoji="1" lang="en-US" altLang="ja-JP" sz="1200" b="1"/>
        </a:p>
        <a:p>
          <a:r>
            <a:rPr kumimoji="1" lang="ja-JP" altLang="en-US" sz="1200" b="1"/>
            <a:t>「当該保険料額になります。」といった断定的な言い方ではなく、「おおよそ当該保険料額になる見込みですが、正確な金額については後日送付される保険料額決定通知書等にてご確認ください。」といった形でのご利用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B1:AC26"/>
  <sheetViews>
    <sheetView tabSelected="1" zoomScale="80" zoomScaleNormal="80" workbookViewId="0">
      <selection activeCell="AN16" sqref="AN16"/>
    </sheetView>
  </sheetViews>
  <sheetFormatPr defaultColWidth="3.125" defaultRowHeight="26.25" customHeight="1"/>
  <cols>
    <col min="1" max="10" width="3.125" style="2" customWidth="1"/>
    <col min="11" max="11" width="3.5" style="2" customWidth="1"/>
    <col min="12" max="17" width="3.125" style="2" customWidth="1"/>
    <col min="18" max="18" width="2.875" style="2" customWidth="1"/>
    <col min="19" max="19" width="3.375" style="2" customWidth="1"/>
    <col min="20" max="20" width="3.125" style="2" customWidth="1"/>
    <col min="21" max="21" width="3.625" style="2" customWidth="1"/>
    <col min="22" max="28" width="3.125" style="2" customWidth="1"/>
    <col min="29" max="31" width="3.125" style="2"/>
    <col min="32" max="32" width="10.875" style="2" bestFit="1" customWidth="1"/>
    <col min="33" max="34" width="3.125" style="2"/>
    <col min="35" max="35" width="14.25" style="2" customWidth="1"/>
    <col min="36" max="16384" width="3.125" style="2"/>
  </cols>
  <sheetData>
    <row r="1" spans="2:29" ht="30" customHeight="1">
      <c r="B1" s="1" t="s">
        <v>193</v>
      </c>
      <c r="D1" s="3"/>
      <c r="E1" s="3"/>
      <c r="F1" s="3"/>
      <c r="G1" s="3"/>
      <c r="H1" s="3"/>
      <c r="I1" s="3"/>
      <c r="J1" s="3"/>
      <c r="K1" s="3"/>
      <c r="L1" s="3"/>
      <c r="M1" s="3"/>
      <c r="N1" s="3"/>
      <c r="O1" s="3"/>
      <c r="P1" s="3"/>
      <c r="Q1" s="3"/>
      <c r="R1" s="3"/>
      <c r="S1" s="3"/>
      <c r="T1" s="3"/>
      <c r="AB1" s="4"/>
      <c r="AC1" s="5"/>
    </row>
    <row r="2" spans="2:29" ht="30" customHeight="1">
      <c r="B2" s="126" t="s">
        <v>18</v>
      </c>
      <c r="C2" s="126"/>
      <c r="D2" s="126"/>
      <c r="E2" s="127">
        <v>45748</v>
      </c>
      <c r="F2" s="127"/>
      <c r="G2" s="127"/>
      <c r="H2" s="127"/>
      <c r="J2" s="126" t="s">
        <v>30</v>
      </c>
      <c r="K2" s="126"/>
      <c r="L2" s="126"/>
      <c r="M2" s="126"/>
      <c r="N2" s="127">
        <v>46112</v>
      </c>
      <c r="O2" s="127"/>
      <c r="P2" s="127"/>
      <c r="Q2" s="127"/>
      <c r="S2" s="88" t="s">
        <v>0</v>
      </c>
      <c r="T2" s="88"/>
      <c r="U2" s="88"/>
      <c r="V2" s="88"/>
      <c r="W2" s="123"/>
      <c r="X2" s="123"/>
      <c r="Y2" s="123"/>
      <c r="Z2" s="123"/>
      <c r="AA2" s="123"/>
      <c r="AB2" s="123"/>
      <c r="AC2" s="5"/>
    </row>
    <row r="3" spans="2:29" ht="30" customHeight="1">
      <c r="B3" s="124" t="s">
        <v>13</v>
      </c>
      <c r="C3" s="124"/>
      <c r="D3" s="124"/>
      <c r="E3" s="124"/>
      <c r="F3" s="124"/>
      <c r="G3" s="124"/>
      <c r="H3" s="124"/>
      <c r="I3" s="124"/>
      <c r="J3" s="124"/>
      <c r="K3" s="124"/>
      <c r="L3" s="124"/>
      <c r="M3" s="124"/>
      <c r="N3" s="124"/>
      <c r="O3" s="125"/>
      <c r="P3" s="125"/>
      <c r="Q3" s="125"/>
      <c r="S3" s="88" t="s">
        <v>1</v>
      </c>
      <c r="T3" s="88"/>
      <c r="U3" s="88"/>
      <c r="V3" s="88"/>
      <c r="W3" s="123"/>
      <c r="X3" s="123"/>
      <c r="Y3" s="123"/>
      <c r="Z3" s="123"/>
      <c r="AA3" s="123"/>
      <c r="AB3" s="123"/>
      <c r="AC3" s="5"/>
    </row>
    <row r="4" spans="2:29" ht="30" customHeight="1">
      <c r="B4" s="5" t="s">
        <v>14</v>
      </c>
      <c r="F4" s="5"/>
      <c r="G4" s="5"/>
      <c r="H4" s="5"/>
      <c r="I4" s="5"/>
      <c r="J4" s="5"/>
      <c r="K4" s="5"/>
      <c r="L4" s="5"/>
      <c r="S4" s="88" t="s">
        <v>75</v>
      </c>
      <c r="T4" s="88"/>
      <c r="U4" s="88"/>
      <c r="V4" s="88"/>
      <c r="W4" s="122"/>
      <c r="X4" s="122"/>
      <c r="Y4" s="122"/>
      <c r="Z4" s="122"/>
      <c r="AA4" s="122"/>
      <c r="AB4" s="122"/>
      <c r="AC4" s="5"/>
    </row>
    <row r="5" spans="2:29" ht="30" customHeight="1">
      <c r="C5" s="5"/>
      <c r="D5" s="88" t="s">
        <v>15</v>
      </c>
      <c r="E5" s="88"/>
      <c r="F5" s="88"/>
      <c r="G5" s="88"/>
      <c r="H5" s="120"/>
      <c r="I5" s="120"/>
      <c r="J5" s="120"/>
      <c r="K5" s="120"/>
      <c r="L5" s="9"/>
      <c r="M5" s="121" t="str">
        <f>IF(H5="","",DATEDIF(H5,E2,"y"))</f>
        <v/>
      </c>
      <c r="N5" s="121"/>
      <c r="O5" s="121"/>
      <c r="P5" s="88" t="s">
        <v>16</v>
      </c>
      <c r="Q5" s="88"/>
      <c r="AC5" s="5"/>
    </row>
    <row r="6" spans="2:29" ht="30" customHeight="1">
      <c r="B6" s="5" t="s">
        <v>19</v>
      </c>
      <c r="AC6" s="5"/>
    </row>
    <row r="7" spans="2:29" ht="30" customHeight="1">
      <c r="D7" s="88" t="s">
        <v>17</v>
      </c>
      <c r="E7" s="88"/>
      <c r="F7" s="88"/>
      <c r="G7" s="88"/>
      <c r="H7" s="120"/>
      <c r="I7" s="120"/>
      <c r="J7" s="120"/>
      <c r="K7" s="120"/>
      <c r="M7" s="121" t="str">
        <f>IF(H7="","",DATEDIF(H5,H7,"y"))</f>
        <v/>
      </c>
      <c r="N7" s="121"/>
      <c r="O7" s="121"/>
      <c r="P7" s="88" t="s">
        <v>16</v>
      </c>
      <c r="Q7" s="88"/>
      <c r="AC7" s="5"/>
    </row>
    <row r="8" spans="2:29" ht="30" customHeight="1">
      <c r="C8" s="5" t="s">
        <v>74</v>
      </c>
      <c r="D8" s="5"/>
      <c r="E8" s="5"/>
      <c r="F8" s="9"/>
      <c r="G8" s="9"/>
      <c r="H8" s="9"/>
      <c r="I8" s="9"/>
      <c r="J8" s="5"/>
      <c r="K8" s="5"/>
      <c r="L8" s="5"/>
      <c r="M8" s="9"/>
      <c r="N8" s="9"/>
      <c r="O8" s="9"/>
      <c r="P8" s="9"/>
      <c r="Q8" s="5"/>
      <c r="R8" s="5"/>
      <c r="S8" s="5"/>
      <c r="T8" s="8"/>
      <c r="U8" s="115" t="str">
        <f>IF(O3="","",IF(O3="はい",IF(H5="","生年月日の入力必要",IF(H7="",DATE(YEAR(H5)+77,MONTH(H5),DAY(H5)),DATE(YEAR(H7)+2,MONTH(H7),DAY(H7)))),"非該当"))</f>
        <v/>
      </c>
      <c r="V8" s="116"/>
      <c r="W8" s="116"/>
      <c r="X8" s="116"/>
      <c r="Y8" s="116"/>
      <c r="Z8" s="116"/>
      <c r="AA8" s="116"/>
      <c r="AB8" s="117"/>
      <c r="AC8" s="5"/>
    </row>
    <row r="9" spans="2:29" ht="30" customHeight="1">
      <c r="B9" s="2" t="s">
        <v>20</v>
      </c>
      <c r="X9" s="5"/>
      <c r="Y9" s="5"/>
      <c r="Z9" s="5"/>
      <c r="AA9" s="5"/>
      <c r="AB9" s="5"/>
      <c r="AC9" s="5"/>
    </row>
    <row r="10" spans="2:29" ht="30" customHeight="1">
      <c r="B10" s="88" t="s">
        <v>11</v>
      </c>
      <c r="C10" s="88"/>
      <c r="D10" s="88"/>
      <c r="E10" s="120"/>
      <c r="F10" s="120"/>
      <c r="G10" s="120"/>
      <c r="H10" s="120"/>
      <c r="I10" s="88" t="s">
        <v>12</v>
      </c>
      <c r="J10" s="88"/>
      <c r="K10" s="88"/>
      <c r="L10" s="120"/>
      <c r="M10" s="120"/>
      <c r="N10" s="120"/>
      <c r="O10" s="120"/>
      <c r="P10" s="88" t="s">
        <v>10</v>
      </c>
      <c r="Q10" s="88"/>
      <c r="R10" s="88"/>
      <c r="S10" s="118">
        <f>IF(AND(E10="",L10=""),12,IF(AND(E10="",L10&lt;&gt;0),(DATEDIF(E2,L10,"YM")),IF(AND(E10&lt;&gt;0,L10=""),(DATEDIF(E10,N2,"YM")+1),IF(L10&lt;E10,"日付エラー",(DATEDIF(E10,L10,"YM"))))))</f>
        <v>12</v>
      </c>
      <c r="T10" s="118"/>
      <c r="U10" s="118"/>
      <c r="V10" s="118"/>
      <c r="W10" s="5"/>
      <c r="X10" s="5"/>
      <c r="Y10" s="5"/>
      <c r="Z10" s="5"/>
      <c r="AA10" s="5"/>
      <c r="AB10" s="5"/>
      <c r="AC10" s="5"/>
    </row>
    <row r="11" spans="2:29" ht="30" customHeight="1">
      <c r="C11" s="5"/>
      <c r="D11" s="5"/>
      <c r="E11" s="9"/>
      <c r="F11" s="9"/>
      <c r="G11" s="9"/>
      <c r="H11" s="9"/>
      <c r="I11" s="5"/>
      <c r="J11" s="5"/>
      <c r="K11" s="5"/>
      <c r="L11" s="9"/>
      <c r="M11" s="9"/>
      <c r="N11" s="9"/>
      <c r="O11" s="9"/>
      <c r="P11" s="5"/>
      <c r="Q11" s="5"/>
      <c r="R11" s="5"/>
      <c r="S11" s="8"/>
      <c r="T11" s="8"/>
      <c r="U11" s="8"/>
      <c r="V11" s="8"/>
      <c r="W11" s="5"/>
      <c r="X11" s="5"/>
      <c r="Y11" s="5"/>
      <c r="Z11" s="5"/>
      <c r="AA11" s="5"/>
      <c r="AB11" s="5"/>
      <c r="AC11" s="5"/>
    </row>
    <row r="12" spans="2:29" ht="30" customHeight="1">
      <c r="B12" s="86" t="s">
        <v>33</v>
      </c>
      <c r="C12" s="87"/>
      <c r="D12" s="87"/>
      <c r="E12" s="87"/>
      <c r="F12" s="87"/>
      <c r="H12" s="89" t="s">
        <v>7</v>
      </c>
      <c r="I12" s="90"/>
      <c r="J12" s="90"/>
      <c r="K12" s="91"/>
      <c r="L12" s="89" t="s">
        <v>8</v>
      </c>
      <c r="M12" s="90"/>
      <c r="N12" s="90"/>
      <c r="O12" s="91"/>
      <c r="P12" s="89" t="s">
        <v>21</v>
      </c>
      <c r="Q12" s="90"/>
      <c r="R12" s="90"/>
      <c r="S12" s="90"/>
      <c r="T12" s="90"/>
      <c r="U12" s="90"/>
      <c r="V12" s="90"/>
      <c r="W12" s="90"/>
      <c r="X12" s="90"/>
      <c r="Y12" s="91"/>
      <c r="Z12" s="86" t="s">
        <v>23</v>
      </c>
      <c r="AA12" s="86"/>
      <c r="AB12" s="86"/>
      <c r="AC12" s="5"/>
    </row>
    <row r="13" spans="2:29" ht="30" customHeight="1">
      <c r="B13" s="88">
        <f>所得入力用!F12</f>
        <v>0</v>
      </c>
      <c r="C13" s="88"/>
      <c r="D13" s="88"/>
      <c r="E13" s="88"/>
      <c r="F13" s="88"/>
      <c r="H13" s="88" t="str">
        <f>IF(OR(O3="いいえ",O3=""),"非該当",IF(U8&lt;E2,"非該当","5割"))</f>
        <v>非該当</v>
      </c>
      <c r="I13" s="88"/>
      <c r="J13" s="88"/>
      <c r="K13" s="88"/>
      <c r="L13" s="88" t="str">
        <f>IF(OR(O3="いいえ",O3=""),"非該当","所得割額０円")</f>
        <v>非該当</v>
      </c>
      <c r="M13" s="88"/>
      <c r="N13" s="88"/>
      <c r="O13" s="88"/>
      <c r="P13" s="119" t="str">
        <f>IF(OR(O3="いいえ",O3=""),"非該当",IF(E2&gt;U8,"非該当",IF(E10="",E2,IF(E10&gt;U8,E2,E10))))</f>
        <v>非該当</v>
      </c>
      <c r="Q13" s="119"/>
      <c r="R13" s="119"/>
      <c r="S13" s="119"/>
      <c r="T13" s="88" t="s">
        <v>22</v>
      </c>
      <c r="U13" s="88"/>
      <c r="V13" s="119" t="str">
        <f>IF(OR(O3="いいえ",O3=""),"非該当",IF(E2&gt;U8,"非該当",IF(AND(L10="",U8&gt;N2),N2,IF(AND(L10="",U8&lt;N2),U8,IF(AND(L10="",U8=N2),N2-1,IF(U8&gt;L10,L10-1,IF(U8&lt;L10,U8,IF(L10=N2,L10-1,L10))))))))</f>
        <v>非該当</v>
      </c>
      <c r="W13" s="119"/>
      <c r="X13" s="119"/>
      <c r="Y13" s="119"/>
      <c r="Z13" s="88" t="str">
        <f>IF(OR(O3="いいえ",O3=""),"非該当",IF(P13="非該当","非該当",IF(V13-P13&lt;0,"日付エラー",IF(V13=N2,(DATEDIF(P13,V13,"YM")+1),(DATEDIF(P13,V13,"YM"))))))</f>
        <v>非該当</v>
      </c>
      <c r="AA13" s="88"/>
      <c r="AB13" s="88"/>
      <c r="AC13" s="5"/>
    </row>
    <row r="14" spans="2:29" ht="30" customHeight="1">
      <c r="AC14" s="5"/>
    </row>
    <row r="15" spans="2:29" ht="20.100000000000001" customHeight="1">
      <c r="B15" s="86" t="s">
        <v>31</v>
      </c>
      <c r="C15" s="86"/>
      <c r="D15" s="86"/>
      <c r="E15" s="86"/>
      <c r="F15" s="86"/>
      <c r="H15" s="106" t="s">
        <v>27</v>
      </c>
      <c r="I15" s="107"/>
      <c r="J15" s="107"/>
      <c r="K15" s="107"/>
      <c r="L15" s="107"/>
      <c r="M15" s="107"/>
      <c r="N15" s="108"/>
      <c r="O15" s="89" t="s">
        <v>28</v>
      </c>
      <c r="P15" s="90"/>
      <c r="Q15" s="90"/>
      <c r="R15" s="90"/>
      <c r="S15" s="90"/>
      <c r="T15" s="90"/>
      <c r="U15" s="91"/>
      <c r="V15" s="109" t="s">
        <v>25</v>
      </c>
      <c r="W15" s="110"/>
      <c r="X15" s="110"/>
      <c r="Y15" s="110"/>
      <c r="Z15" s="111"/>
      <c r="AC15" s="5"/>
    </row>
    <row r="16" spans="2:29" ht="20.100000000000001" customHeight="1">
      <c r="B16" s="86"/>
      <c r="C16" s="86"/>
      <c r="D16" s="86"/>
      <c r="E16" s="86"/>
      <c r="F16" s="86"/>
      <c r="H16" s="87" t="s">
        <v>9</v>
      </c>
      <c r="I16" s="87"/>
      <c r="J16" s="87"/>
      <c r="K16" s="87"/>
      <c r="L16" s="86" t="s">
        <v>23</v>
      </c>
      <c r="M16" s="86"/>
      <c r="N16" s="86"/>
      <c r="O16" s="89" t="s">
        <v>9</v>
      </c>
      <c r="P16" s="90"/>
      <c r="Q16" s="90"/>
      <c r="R16" s="91"/>
      <c r="S16" s="89" t="s">
        <v>23</v>
      </c>
      <c r="T16" s="90"/>
      <c r="U16" s="91"/>
      <c r="V16" s="112"/>
      <c r="W16" s="113"/>
      <c r="X16" s="113"/>
      <c r="Y16" s="113"/>
      <c r="Z16" s="114"/>
      <c r="AC16" s="5"/>
    </row>
    <row r="17" spans="2:29" ht="30" customHeight="1">
      <c r="B17" s="88">
        <v>56400</v>
      </c>
      <c r="C17" s="88"/>
      <c r="D17" s="88"/>
      <c r="E17" s="88"/>
      <c r="F17" s="88"/>
      <c r="H17" s="92">
        <f>所得入力用!B12</f>
        <v>7</v>
      </c>
      <c r="I17" s="93"/>
      <c r="J17" s="93"/>
      <c r="K17" s="7" t="str">
        <f>IF(H17="非該当","","割")</f>
        <v>割</v>
      </c>
      <c r="L17" s="88">
        <f>IF(H17="非該当","非該当",IF(H17&gt;5,S10,IF(Z13="非該当",S10,IF(AND(O3="はい",Z13&gt;S10),0,S10-S17))))</f>
        <v>12</v>
      </c>
      <c r="M17" s="88"/>
      <c r="N17" s="88"/>
      <c r="O17" s="104" t="str">
        <f>IF(AND(H17="非該当",Z13="非該当"),"非該当",IF(AND(O3="はい",H17="非該当"),5,IF(H17&gt;5,"非該当",IF(Z13&lt;&gt;"非該当",5,"非該当"))))</f>
        <v>非該当</v>
      </c>
      <c r="P17" s="105"/>
      <c r="Q17" s="105"/>
      <c r="R17" s="7" t="str">
        <f>IF(O17="非該当","","割")</f>
        <v/>
      </c>
      <c r="S17" s="88">
        <f>IF(AND(H17="非該当",Z13="非該当"),"非該当",IF(AND(O3="はい",H17="非該当",Z13&gt;S10),S10,IF(H17="非該当",Z13,IF(H17&gt;5,0,IF(Z13="非該当","非該当",IF(O3="いいえ","非該当",IF(Z13&lt;S10,Z13,S10)))))))</f>
        <v>0</v>
      </c>
      <c r="T17" s="88"/>
      <c r="U17" s="88"/>
      <c r="V17" s="98">
        <f>IF(AND(H17="非該当",O17="非該当"),"非該当",IF(AND(H17="非該当",O17&lt;&gt;"非該当"),ROUNDUP(48440/12*O17/10*S17,0),IF(OR(H17&gt;5,O17="非該当"),ROUNDUP(48440/12*H17/10*L17,0),ROUNDUP(48440/12*(H17/10*L17+O17/10*S17),0))))</f>
        <v>33908</v>
      </c>
      <c r="W17" s="99"/>
      <c r="X17" s="99"/>
      <c r="Y17" s="99"/>
      <c r="Z17" s="100"/>
      <c r="AC17" s="5"/>
    </row>
    <row r="18" spans="2:29" ht="30" customHeight="1">
      <c r="AC18" s="5"/>
    </row>
    <row r="19" spans="2:29" ht="30" customHeight="1">
      <c r="B19" s="89" t="s">
        <v>24</v>
      </c>
      <c r="C19" s="90"/>
      <c r="D19" s="90"/>
      <c r="E19" s="90"/>
      <c r="F19" s="90"/>
      <c r="G19" s="91"/>
      <c r="H19" s="86" t="s">
        <v>2</v>
      </c>
      <c r="I19" s="87"/>
      <c r="J19" s="87"/>
      <c r="K19" s="87"/>
      <c r="L19" s="86" t="s">
        <v>26</v>
      </c>
      <c r="M19" s="87"/>
      <c r="N19" s="87"/>
      <c r="O19" s="87"/>
      <c r="P19" s="87"/>
      <c r="Q19" s="86" t="s">
        <v>3</v>
      </c>
      <c r="R19" s="87"/>
      <c r="S19" s="87"/>
      <c r="T19" s="87"/>
      <c r="U19" s="87" t="s">
        <v>4</v>
      </c>
      <c r="V19" s="87"/>
      <c r="W19" s="87"/>
      <c r="X19" s="87"/>
      <c r="Y19" s="87"/>
      <c r="AC19" s="5"/>
    </row>
    <row r="20" spans="2:29" ht="30" customHeight="1">
      <c r="B20" s="98">
        <f>所得入力用!F11</f>
        <v>0</v>
      </c>
      <c r="C20" s="99"/>
      <c r="D20" s="99"/>
      <c r="E20" s="99"/>
      <c r="F20" s="99"/>
      <c r="G20" s="100"/>
      <c r="H20" s="101">
        <f>IF(B20&lt;=24000000, 430000, IF(B20&lt;=24500000, 290000, IF(B20&lt;=25000000, 150000, 0)))</f>
        <v>430000</v>
      </c>
      <c r="I20" s="101"/>
      <c r="J20" s="101"/>
      <c r="K20" s="101"/>
      <c r="L20" s="98">
        <f>IF(B20&lt;430000,0,B20-H20)</f>
        <v>0</v>
      </c>
      <c r="M20" s="99"/>
      <c r="N20" s="99"/>
      <c r="O20" s="99"/>
      <c r="P20" s="100"/>
      <c r="Q20" s="102">
        <f>IF(O3="はい",0,11.6%)</f>
        <v>0.11599999999999999</v>
      </c>
      <c r="R20" s="102"/>
      <c r="S20" s="102"/>
      <c r="T20" s="103"/>
      <c r="U20" s="88">
        <f>ROUNDDOWN(L20*Q20,0)</f>
        <v>0</v>
      </c>
      <c r="V20" s="88"/>
      <c r="W20" s="88"/>
      <c r="X20" s="88"/>
      <c r="Y20" s="88"/>
      <c r="AC20" s="5"/>
    </row>
    <row r="21" spans="2:29" ht="30" customHeight="1">
      <c r="AC21" s="5"/>
    </row>
    <row r="22" spans="2:29" ht="30" customHeight="1">
      <c r="B22" s="86" t="s">
        <v>33</v>
      </c>
      <c r="C22" s="87"/>
      <c r="D22" s="87"/>
      <c r="E22" s="87"/>
      <c r="F22" s="87"/>
      <c r="G22" s="87" t="s">
        <v>9</v>
      </c>
      <c r="H22" s="87"/>
      <c r="I22" s="87"/>
      <c r="J22" s="87"/>
      <c r="K22" s="86" t="s">
        <v>6</v>
      </c>
      <c r="L22" s="87"/>
      <c r="M22" s="87"/>
      <c r="N22" s="87"/>
      <c r="O22" s="87"/>
      <c r="P22" s="86" t="s">
        <v>146</v>
      </c>
      <c r="Q22" s="87"/>
      <c r="R22" s="87"/>
      <c r="S22" s="87"/>
      <c r="T22" s="87"/>
      <c r="V22" s="86" t="s">
        <v>5</v>
      </c>
      <c r="W22" s="86"/>
      <c r="X22" s="86"/>
      <c r="Y22" s="86"/>
      <c r="Z22" s="86"/>
      <c r="AC22" s="5"/>
    </row>
    <row r="23" spans="2:29" ht="30" customHeight="1">
      <c r="B23" s="88">
        <f>B13</f>
        <v>0</v>
      </c>
      <c r="C23" s="88"/>
      <c r="D23" s="88"/>
      <c r="E23" s="88"/>
      <c r="F23" s="88"/>
      <c r="G23" s="92">
        <f>H17</f>
        <v>7</v>
      </c>
      <c r="H23" s="93"/>
      <c r="I23" s="93"/>
      <c r="J23" s="7" t="str">
        <f>IF(G23="非該当","","割")</f>
        <v>割</v>
      </c>
      <c r="K23" s="88">
        <f>IF(O3="はい",V17,IF(G23="非該当",0,ROUNDUP(B17*G23/10,0)))</f>
        <v>39480</v>
      </c>
      <c r="L23" s="88"/>
      <c r="M23" s="88"/>
      <c r="N23" s="88"/>
      <c r="O23" s="88"/>
      <c r="P23" s="88">
        <f>IF(V17="非該当",B17,IF(O3="はい",B17/12*S10-V17,B17-K23))</f>
        <v>16920</v>
      </c>
      <c r="Q23" s="88"/>
      <c r="R23" s="88"/>
      <c r="S23" s="88"/>
      <c r="T23" s="88"/>
      <c r="V23" s="88">
        <f>U20+P23</f>
        <v>16920</v>
      </c>
      <c r="W23" s="88"/>
      <c r="X23" s="88"/>
      <c r="Y23" s="88"/>
      <c r="Z23" s="88"/>
      <c r="AC23" s="5"/>
    </row>
    <row r="24" spans="2:29" ht="30" customHeight="1">
      <c r="AC24" s="5"/>
    </row>
    <row r="25" spans="2:29" s="5" customFormat="1" ht="30" customHeight="1">
      <c r="B25" s="86" t="s">
        <v>67</v>
      </c>
      <c r="C25" s="87"/>
      <c r="D25" s="87"/>
      <c r="E25" s="87"/>
      <c r="F25" s="87"/>
      <c r="H25" s="86" t="s">
        <v>32</v>
      </c>
      <c r="I25" s="87"/>
      <c r="J25" s="87"/>
      <c r="K25" s="87"/>
      <c r="M25" s="86" t="s">
        <v>66</v>
      </c>
      <c r="N25" s="87"/>
      <c r="O25" s="87"/>
      <c r="P25" s="86" t="str">
        <f>IF(AND(O3="はい",Z13="非該当"),"月割減額",IF(O3="はい","均等割減額","月割減額"))</f>
        <v>月割減額</v>
      </c>
      <c r="Q25" s="87"/>
      <c r="R25" s="87"/>
      <c r="S25" s="87"/>
      <c r="T25" s="87"/>
      <c r="W25" s="94" t="s">
        <v>29</v>
      </c>
      <c r="X25" s="95"/>
      <c r="Y25" s="95"/>
      <c r="Z25" s="95"/>
      <c r="AA25" s="95"/>
      <c r="AB25" s="96"/>
    </row>
    <row r="26" spans="2:29" s="5" customFormat="1" ht="30" customHeight="1">
      <c r="B26" s="88">
        <f>IF(V23&gt;800000,V23-800000,0)</f>
        <v>0</v>
      </c>
      <c r="C26" s="88"/>
      <c r="D26" s="88"/>
      <c r="E26" s="88"/>
      <c r="F26" s="88"/>
      <c r="H26" s="88">
        <f>IF(AND(O3="はい",Z13="非該当"),P23,IF(O3="はい",K23+P23,V23-B26))</f>
        <v>16920</v>
      </c>
      <c r="I26" s="88"/>
      <c r="J26" s="88"/>
      <c r="K26" s="88"/>
      <c r="M26" s="88">
        <f>S10</f>
        <v>12</v>
      </c>
      <c r="N26" s="88"/>
      <c r="O26" s="88"/>
      <c r="P26" s="97">
        <f>IF(AND(O3="はい",Z13="非該当"),ROUNDUP(H26/12*(12-M26),0),IF(O3="はい",K23,(ROUNDUP(H26/12*(12-M26),0))))</f>
        <v>0</v>
      </c>
      <c r="Q26" s="97"/>
      <c r="R26" s="97"/>
      <c r="S26" s="97"/>
      <c r="T26" s="97"/>
      <c r="V26" s="6"/>
      <c r="W26" s="88">
        <f>H26-P26</f>
        <v>16920</v>
      </c>
      <c r="X26" s="88"/>
      <c r="Y26" s="88"/>
      <c r="Z26" s="88"/>
      <c r="AA26" s="88"/>
      <c r="AB26" s="88"/>
    </row>
  </sheetData>
  <sheetProtection sheet="1" objects="1" scenarios="1"/>
  <mergeCells count="83">
    <mergeCell ref="W2:AB2"/>
    <mergeCell ref="B3:N3"/>
    <mergeCell ref="O3:Q3"/>
    <mergeCell ref="S3:V3"/>
    <mergeCell ref="W3:AB3"/>
    <mergeCell ref="B2:D2"/>
    <mergeCell ref="E2:H2"/>
    <mergeCell ref="J2:M2"/>
    <mergeCell ref="N2:Q2"/>
    <mergeCell ref="S2:V2"/>
    <mergeCell ref="S4:V4"/>
    <mergeCell ref="W4:AB4"/>
    <mergeCell ref="D5:G5"/>
    <mergeCell ref="H5:K5"/>
    <mergeCell ref="M5:O5"/>
    <mergeCell ref="P5:Q5"/>
    <mergeCell ref="D7:G7"/>
    <mergeCell ref="H7:K7"/>
    <mergeCell ref="M7:O7"/>
    <mergeCell ref="P7:Q7"/>
    <mergeCell ref="B10:D10"/>
    <mergeCell ref="E10:H10"/>
    <mergeCell ref="I10:K10"/>
    <mergeCell ref="L10:O10"/>
    <mergeCell ref="P10:R10"/>
    <mergeCell ref="L13:O13"/>
    <mergeCell ref="P13:S13"/>
    <mergeCell ref="T13:U13"/>
    <mergeCell ref="V13:Y13"/>
    <mergeCell ref="Z13:AB13"/>
    <mergeCell ref="U8:AB8"/>
    <mergeCell ref="H12:K12"/>
    <mergeCell ref="L12:O12"/>
    <mergeCell ref="P12:Y12"/>
    <mergeCell ref="Z12:AB12"/>
    <mergeCell ref="S10:V10"/>
    <mergeCell ref="L17:N17"/>
    <mergeCell ref="O17:Q17"/>
    <mergeCell ref="S17:U17"/>
    <mergeCell ref="V17:Z17"/>
    <mergeCell ref="H15:N15"/>
    <mergeCell ref="O15:U15"/>
    <mergeCell ref="V15:Z16"/>
    <mergeCell ref="H16:K16"/>
    <mergeCell ref="L16:N16"/>
    <mergeCell ref="O16:R16"/>
    <mergeCell ref="S16:U16"/>
    <mergeCell ref="L19:P19"/>
    <mergeCell ref="Q19:T19"/>
    <mergeCell ref="U19:Y19"/>
    <mergeCell ref="B20:G20"/>
    <mergeCell ref="H20:K20"/>
    <mergeCell ref="L20:P20"/>
    <mergeCell ref="Q20:T20"/>
    <mergeCell ref="U20:Y20"/>
    <mergeCell ref="V22:Z22"/>
    <mergeCell ref="V23:Z23"/>
    <mergeCell ref="B22:F22"/>
    <mergeCell ref="G22:J22"/>
    <mergeCell ref="K22:O22"/>
    <mergeCell ref="P22:T22"/>
    <mergeCell ref="B23:F23"/>
    <mergeCell ref="G23:I23"/>
    <mergeCell ref="K23:O23"/>
    <mergeCell ref="P23:T23"/>
    <mergeCell ref="M25:O25"/>
    <mergeCell ref="W25:AB25"/>
    <mergeCell ref="M26:O26"/>
    <mergeCell ref="W26:AB26"/>
    <mergeCell ref="P25:T25"/>
    <mergeCell ref="P26:T26"/>
    <mergeCell ref="B12:F12"/>
    <mergeCell ref="B13:F13"/>
    <mergeCell ref="B26:F26"/>
    <mergeCell ref="B25:F25"/>
    <mergeCell ref="H25:K25"/>
    <mergeCell ref="H26:K26"/>
    <mergeCell ref="B15:F16"/>
    <mergeCell ref="B19:G19"/>
    <mergeCell ref="H19:K19"/>
    <mergeCell ref="B17:F17"/>
    <mergeCell ref="H17:J17"/>
    <mergeCell ref="H13:K13"/>
  </mergeCells>
  <phoneticPr fontId="4"/>
  <conditionalFormatting sqref="L13:O13">
    <cfRule type="cellIs" dxfId="1" priority="1" operator="equal">
      <formula>"所得割額０円"</formula>
    </cfRule>
  </conditionalFormatting>
  <conditionalFormatting sqref="U8:AB8">
    <cfRule type="cellIs" dxfId="0" priority="2" operator="equal">
      <formula>"生年月日の入力必要"</formula>
    </cfRule>
  </conditionalFormatting>
  <dataValidations disablePrompts="1" count="4">
    <dataValidation type="list" allowBlank="1" showInputMessage="1" showErrorMessage="1" sqref="O3" xr:uid="{00000000-0002-0000-0000-000000000000}">
      <formula1>"はい,いいえ"</formula1>
    </dataValidation>
    <dataValidation type="date" allowBlank="1" showInputMessage="1" showErrorMessage="1" errorTitle="エラー" error="年度内の日付を入力して下さい。" sqref="E10:H10" xr:uid="{00000000-0002-0000-0000-000001000000}">
      <formula1>E2</formula1>
      <formula2>N2</formula2>
    </dataValidation>
    <dataValidation type="date" allowBlank="1" showInputMessage="1" showErrorMessage="1" errorTitle="エラー" error="年度内の日付をお願いします。" sqref="L10:O10" xr:uid="{00000000-0002-0000-0000-000002000000}">
      <formula1>E2</formula1>
      <formula2>N2</formula2>
    </dataValidation>
    <dataValidation type="date" operator="lessThanOrEqual" allowBlank="1" showInputMessage="1" showErrorMessage="1" errorTitle="エラー" error="未来日になってます。" sqref="H7:K7" xr:uid="{00000000-0002-0000-0000-000003000000}">
      <formula1>N2</formula1>
    </dataValidation>
  </dataValidations>
  <pageMargins left="0.39370078740157483" right="0.19685039370078741" top="0.59055118110236227" bottom="0.39370078740157483"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V85"/>
  <sheetViews>
    <sheetView zoomScale="80" zoomScaleNormal="80" workbookViewId="0">
      <selection activeCell="O14" sqref="O14"/>
    </sheetView>
  </sheetViews>
  <sheetFormatPr defaultRowHeight="18.75"/>
  <cols>
    <col min="1" max="1" width="24.125" customWidth="1"/>
    <col min="2" max="2" width="10.625" bestFit="1" customWidth="1"/>
    <col min="3" max="3" width="4.5" style="11" bestFit="1" customWidth="1"/>
    <col min="4" max="4" width="20.25" style="11" bestFit="1" customWidth="1"/>
    <col min="5" max="6" width="10.625" style="11" customWidth="1"/>
    <col min="7" max="7" width="3.5" style="22" bestFit="1" customWidth="1"/>
    <col min="8" max="8" width="5.625" bestFit="1" customWidth="1"/>
    <col min="9" max="9" width="8.875" bestFit="1" customWidth="1"/>
    <col min="10" max="10" width="11.625" style="11" bestFit="1" customWidth="1"/>
    <col min="11" max="11" width="3.375" style="11" bestFit="1" customWidth="1"/>
    <col min="12" max="12" width="3.75" style="11" bestFit="1" customWidth="1"/>
    <col min="13" max="13" width="10.875" style="11" customWidth="1"/>
    <col min="14" max="14" width="3.375" style="11" bestFit="1" customWidth="1"/>
    <col min="15" max="15" width="21.5" style="11" bestFit="1" customWidth="1"/>
    <col min="16" max="16" width="9.5" style="11" bestFit="1" customWidth="1"/>
    <col min="17" max="17" width="9.5" bestFit="1" customWidth="1"/>
    <col min="18" max="18" width="9.5" style="11" bestFit="1" customWidth="1"/>
  </cols>
  <sheetData>
    <row r="1" spans="1:18" ht="39.75">
      <c r="A1" s="19" t="s">
        <v>76</v>
      </c>
    </row>
    <row r="2" spans="1:18" ht="15" customHeight="1">
      <c r="A2" s="19"/>
    </row>
    <row r="3" spans="1:18" ht="19.5">
      <c r="A3" s="20" t="s">
        <v>80</v>
      </c>
    </row>
    <row r="4" spans="1:18">
      <c r="A4" t="s">
        <v>77</v>
      </c>
    </row>
    <row r="5" spans="1:18" ht="19.5">
      <c r="A5" s="20" t="s">
        <v>81</v>
      </c>
    </row>
    <row r="6" spans="1:18">
      <c r="A6" t="s">
        <v>145</v>
      </c>
    </row>
    <row r="7" spans="1:18">
      <c r="A7" t="s">
        <v>78</v>
      </c>
    </row>
    <row r="8" spans="1:18">
      <c r="A8" t="s">
        <v>79</v>
      </c>
    </row>
    <row r="10" spans="1:18">
      <c r="A10" s="14" t="s">
        <v>55</v>
      </c>
      <c r="B10" s="75" t="str">
        <f>IF(C30+C39+C47+C56+C64&gt;0,"あり","無し")</f>
        <v>無し</v>
      </c>
      <c r="C10" s="10"/>
      <c r="D10" s="10"/>
      <c r="E10" s="10"/>
      <c r="F10" s="10"/>
    </row>
    <row r="11" spans="1:18">
      <c r="A11" s="14" t="s">
        <v>56</v>
      </c>
      <c r="B11" s="76">
        <f>COUNT(B45,B53,B61)+IF(OR(C26&lt;&gt;"",B28&lt;&gt;""),1,0)</f>
        <v>0</v>
      </c>
      <c r="C11" s="45" t="s">
        <v>65</v>
      </c>
      <c r="D11" s="45" t="s">
        <v>64</v>
      </c>
      <c r="E11" s="45" t="s">
        <v>57</v>
      </c>
      <c r="F11" s="10">
        <f>F30</f>
        <v>0</v>
      </c>
    </row>
    <row r="12" spans="1:18">
      <c r="A12" s="14" t="s">
        <v>58</v>
      </c>
      <c r="B12" s="14">
        <f>IF(B16="該当",7,IF(B17="該当",5,IF(B18="該当",2,"非該当")))</f>
        <v>7</v>
      </c>
      <c r="C12" s="45" t="s">
        <v>59</v>
      </c>
      <c r="D12" s="14" t="s">
        <v>53</v>
      </c>
      <c r="E12" s="45" t="s">
        <v>57</v>
      </c>
      <c r="F12" s="10">
        <f>F31+F40+F48+F56+F64</f>
        <v>0</v>
      </c>
    </row>
    <row r="13" spans="1:18">
      <c r="C13" s="38"/>
      <c r="D13"/>
      <c r="E13" s="38"/>
      <c r="F13" s="38"/>
    </row>
    <row r="14" spans="1:18">
      <c r="D14"/>
      <c r="H14" s="142" t="s">
        <v>170</v>
      </c>
      <c r="I14" s="142"/>
    </row>
    <row r="15" spans="1:18" s="52" customFormat="1">
      <c r="A15" s="14"/>
      <c r="B15" s="14"/>
      <c r="C15" s="45"/>
      <c r="D15" s="45" t="s">
        <v>38</v>
      </c>
      <c r="E15" s="45" t="s">
        <v>40</v>
      </c>
      <c r="F15" s="45" t="s">
        <v>39</v>
      </c>
      <c r="G15" s="50"/>
      <c r="H15" s="44" t="s">
        <v>171</v>
      </c>
      <c r="I15" s="44" t="s">
        <v>172</v>
      </c>
      <c r="J15" s="45" t="s">
        <v>41</v>
      </c>
      <c r="K15" s="51"/>
      <c r="L15" s="51"/>
      <c r="M15" s="51"/>
      <c r="N15" s="51"/>
      <c r="O15" s="51"/>
      <c r="P15" s="51"/>
      <c r="R15" s="51"/>
    </row>
    <row r="16" spans="1:18">
      <c r="A16" s="45" t="s">
        <v>87</v>
      </c>
      <c r="B16" s="14" t="str">
        <f>IF($F$12&lt;=J16,"該当","非該当")</f>
        <v>該当</v>
      </c>
      <c r="C16" s="10"/>
      <c r="D16" s="10">
        <v>430000</v>
      </c>
      <c r="E16" s="10"/>
      <c r="F16" s="10">
        <f>$B$11</f>
        <v>0</v>
      </c>
      <c r="G16" s="23"/>
      <c r="H16" s="12">
        <f>IF($G$25+$G$42+$G$50+$G$58&gt;=1,$G$25+$G$42+$G$50+$G$58-1,0)</f>
        <v>0</v>
      </c>
      <c r="I16" s="10">
        <f>H16*100000</f>
        <v>0</v>
      </c>
      <c r="J16" s="10">
        <f>D16+E16*F16+I16</f>
        <v>430000</v>
      </c>
    </row>
    <row r="17" spans="1:18">
      <c r="A17" s="45" t="s">
        <v>177</v>
      </c>
      <c r="B17" s="14" t="str">
        <f>IF($F$12&lt;=J17,"該当","非該当")</f>
        <v>該当</v>
      </c>
      <c r="C17" s="10"/>
      <c r="D17" s="10">
        <v>430000</v>
      </c>
      <c r="E17" s="10">
        <v>305000</v>
      </c>
      <c r="F17" s="10">
        <f>$B$11</f>
        <v>0</v>
      </c>
      <c r="G17" s="23"/>
      <c r="H17" s="12">
        <f t="shared" ref="H17:H18" si="0">IF($G$25+$G$33+$G$42+$G$50+$G$58&gt;=1,$G$25+$G$33+$G$42+$G$50+$G$58-1,0)</f>
        <v>0</v>
      </c>
      <c r="I17" s="10">
        <f t="shared" ref="I17:I18" si="1">H17*100000</f>
        <v>0</v>
      </c>
      <c r="J17" s="10">
        <f>D17+E17*F17+I17</f>
        <v>430000</v>
      </c>
    </row>
    <row r="18" spans="1:18">
      <c r="A18" s="45" t="s">
        <v>178</v>
      </c>
      <c r="B18" s="14" t="str">
        <f>IF($F$12&lt;=J18,"該当","非該当")</f>
        <v>該当</v>
      </c>
      <c r="C18" s="10"/>
      <c r="D18" s="10">
        <v>430000</v>
      </c>
      <c r="E18" s="10">
        <v>560000</v>
      </c>
      <c r="F18" s="10">
        <f>$B$11</f>
        <v>0</v>
      </c>
      <c r="G18" s="23"/>
      <c r="H18" s="12">
        <f t="shared" si="0"/>
        <v>0</v>
      </c>
      <c r="I18" s="10">
        <f t="shared" si="1"/>
        <v>0</v>
      </c>
      <c r="J18" s="10">
        <f t="shared" ref="J18" si="2">D18+E18*F18+I18</f>
        <v>430000</v>
      </c>
    </row>
    <row r="19" spans="1:18">
      <c r="A19" s="42" t="s">
        <v>168</v>
      </c>
      <c r="G19" s="24"/>
      <c r="H19" s="60"/>
      <c r="M19" s="61" t="s">
        <v>182</v>
      </c>
    </row>
    <row r="20" spans="1:18">
      <c r="A20" s="43" t="s">
        <v>169</v>
      </c>
      <c r="G20" s="24"/>
      <c r="H20" s="11"/>
    </row>
    <row r="21" spans="1:18">
      <c r="A21" s="43"/>
      <c r="G21" s="24"/>
      <c r="H21" s="11"/>
    </row>
    <row r="22" spans="1:18">
      <c r="A22" s="10" t="s">
        <v>73</v>
      </c>
      <c r="B22" s="18">
        <f>'配布用(出力用)'!W26</f>
        <v>16920</v>
      </c>
      <c r="C22" s="10" t="s">
        <v>72</v>
      </c>
      <c r="G22" s="24"/>
      <c r="H22" s="11"/>
    </row>
    <row r="23" spans="1:18">
      <c r="A23" s="11"/>
      <c r="G23" s="24"/>
      <c r="H23" s="11"/>
    </row>
    <row r="25" spans="1:18">
      <c r="A25" s="131" t="s">
        <v>82</v>
      </c>
      <c r="B25" s="131"/>
      <c r="C25" s="131"/>
      <c r="D25" s="131"/>
      <c r="E25" s="45" t="s">
        <v>35</v>
      </c>
      <c r="F25" s="45" t="s">
        <v>36</v>
      </c>
      <c r="G25" s="25">
        <f>IF(G26+G27&gt;=1,1,0)</f>
        <v>0</v>
      </c>
      <c r="J25" s="11" t="s">
        <v>157</v>
      </c>
    </row>
    <row r="26" spans="1:18">
      <c r="A26" s="10" t="s">
        <v>50</v>
      </c>
      <c r="B26" s="71" t="str">
        <f>IF('配布用(出力用)'!H5="","",'配布用(出力用)'!H5)</f>
        <v/>
      </c>
      <c r="C26" s="10" t="str">
        <f>IF(B26="","",DATEDIF(B26,B27,"y"))</f>
        <v/>
      </c>
      <c r="D26" s="12" t="s">
        <v>61</v>
      </c>
      <c r="E26" s="17"/>
      <c r="F26" s="10">
        <f>IF(E26&gt;=$J$48,E26*$P$48-$Q$48,IF(E26&gt;$M$43,E26*VLOOKUP(E26,$J$44:$Q$47,7,TRUE)-VLOOKUP(E26,$J$44:$Q$47,8,TRUE),0))</f>
        <v>0</v>
      </c>
      <c r="G26" s="25">
        <f>IF(E26&gt;1100000,1,0)</f>
        <v>0</v>
      </c>
      <c r="J26" s="132" t="s">
        <v>42</v>
      </c>
      <c r="K26" s="133"/>
      <c r="L26" s="133"/>
      <c r="M26" s="133"/>
      <c r="N26" s="134"/>
      <c r="O26" s="132" t="s">
        <v>47</v>
      </c>
      <c r="P26" s="133"/>
      <c r="Q26" s="133"/>
      <c r="R26" s="134"/>
    </row>
    <row r="27" spans="1:18">
      <c r="A27" s="10" t="s">
        <v>60</v>
      </c>
      <c r="B27" s="71">
        <v>45748</v>
      </c>
      <c r="C27" s="10"/>
      <c r="D27" s="12" t="s">
        <v>34</v>
      </c>
      <c r="E27" s="17"/>
      <c r="F27" s="10">
        <f>IF(E27&gt;$J$37,E27-$R$37,IF(E27&gt;$M$35,E27*$Q$36-$R$36,IF(E27&gt;$M$32,ROUNDDOWN(E27/4,-3)*VLOOKUP(E27,J$33:$R$35,8,TRUE)-VLOOKUP(E27,$J$33:$R$35,9,TRUE),IF(E27&gt;$M$28,VLOOKUP(E27,$J$29:$P$32,7,TRUE),IF(E27&gt;$M$27,E27-$P$28,0)))))</f>
        <v>0</v>
      </c>
      <c r="G27" s="25">
        <f>IF(E27&gt;550000,1,0)</f>
        <v>0</v>
      </c>
      <c r="J27" s="10">
        <v>0</v>
      </c>
      <c r="K27" s="10" t="s">
        <v>43</v>
      </c>
      <c r="L27" s="10" t="s">
        <v>22</v>
      </c>
      <c r="M27" s="10">
        <f>J28-1</f>
        <v>550999</v>
      </c>
      <c r="N27" s="10" t="s">
        <v>43</v>
      </c>
      <c r="O27" s="10" t="s">
        <v>44</v>
      </c>
      <c r="P27" s="10">
        <v>0</v>
      </c>
      <c r="Q27" s="12"/>
      <c r="R27" s="10"/>
    </row>
    <row r="28" spans="1:18">
      <c r="A28" s="10" t="s">
        <v>51</v>
      </c>
      <c r="B28" s="72"/>
      <c r="C28" s="10"/>
      <c r="D28" s="12" t="s">
        <v>173</v>
      </c>
      <c r="E28" s="49" t="s">
        <v>174</v>
      </c>
      <c r="F28" s="17">
        <v>0</v>
      </c>
      <c r="G28" s="25"/>
      <c r="J28" s="10">
        <v>551000</v>
      </c>
      <c r="K28" s="10" t="s">
        <v>43</v>
      </c>
      <c r="L28" s="10" t="s">
        <v>22</v>
      </c>
      <c r="M28" s="10">
        <f t="shared" ref="M28:M36" si="3">J29-1</f>
        <v>1618999</v>
      </c>
      <c r="N28" s="10" t="s">
        <v>43</v>
      </c>
      <c r="O28" s="10" t="s">
        <v>147</v>
      </c>
      <c r="P28" s="10">
        <v>550000</v>
      </c>
      <c r="Q28" s="12"/>
      <c r="R28" s="10"/>
    </row>
    <row r="29" spans="1:18">
      <c r="A29" s="12"/>
      <c r="B29" s="14"/>
      <c r="C29" s="12"/>
      <c r="D29" s="12" t="s">
        <v>37</v>
      </c>
      <c r="E29" s="49" t="s">
        <v>174</v>
      </c>
      <c r="F29" s="17"/>
      <c r="G29" s="25"/>
      <c r="J29" s="10">
        <v>1619000</v>
      </c>
      <c r="K29" s="10" t="s">
        <v>43</v>
      </c>
      <c r="L29" s="10" t="s">
        <v>22</v>
      </c>
      <c r="M29" s="10">
        <f t="shared" si="3"/>
        <v>1619999</v>
      </c>
      <c r="N29" s="10" t="s">
        <v>43</v>
      </c>
      <c r="O29" s="10" t="s">
        <v>148</v>
      </c>
      <c r="P29" s="10">
        <v>1069000</v>
      </c>
      <c r="Q29" s="12"/>
      <c r="R29" s="10"/>
    </row>
    <row r="30" spans="1:18">
      <c r="A30" s="10" t="s">
        <v>54</v>
      </c>
      <c r="B30" s="70" t="s">
        <v>176</v>
      </c>
      <c r="C30" s="21">
        <f>IF(B30="未申告",1,0)</f>
        <v>0</v>
      </c>
      <c r="D30" s="12" t="s">
        <v>52</v>
      </c>
      <c r="E30" s="49" t="s">
        <v>174</v>
      </c>
      <c r="F30" s="10">
        <f>F26+F27+F29</f>
        <v>0</v>
      </c>
      <c r="G30" s="25"/>
      <c r="J30" s="10">
        <v>1620000</v>
      </c>
      <c r="K30" s="10" t="s">
        <v>43</v>
      </c>
      <c r="L30" s="10" t="s">
        <v>22</v>
      </c>
      <c r="M30" s="10">
        <f t="shared" si="3"/>
        <v>1621999</v>
      </c>
      <c r="N30" s="10" t="s">
        <v>43</v>
      </c>
      <c r="O30" s="10" t="s">
        <v>149</v>
      </c>
      <c r="P30" s="10">
        <v>1070000</v>
      </c>
      <c r="Q30" s="12"/>
      <c r="R30" s="10"/>
    </row>
    <row r="31" spans="1:18">
      <c r="A31" s="12"/>
      <c r="B31" s="14"/>
      <c r="C31" s="10"/>
      <c r="D31" s="12" t="s">
        <v>53</v>
      </c>
      <c r="E31" s="49" t="s">
        <v>174</v>
      </c>
      <c r="F31" s="10">
        <f>IF(B30="未申告",10000000,IF(F26&lt;150000,0,F26-150000)+F27+F28+F29)</f>
        <v>0</v>
      </c>
      <c r="G31" s="25"/>
      <c r="J31" s="10">
        <v>1622000</v>
      </c>
      <c r="K31" s="10" t="s">
        <v>43</v>
      </c>
      <c r="L31" s="10" t="s">
        <v>22</v>
      </c>
      <c r="M31" s="10">
        <f t="shared" si="3"/>
        <v>1623999</v>
      </c>
      <c r="N31" s="10" t="s">
        <v>43</v>
      </c>
      <c r="O31" s="10" t="s">
        <v>150</v>
      </c>
      <c r="P31" s="10">
        <v>1072000</v>
      </c>
      <c r="Q31" s="12"/>
      <c r="R31" s="10"/>
    </row>
    <row r="32" spans="1:18">
      <c r="J32" s="10">
        <v>1624000</v>
      </c>
      <c r="K32" s="10" t="s">
        <v>43</v>
      </c>
      <c r="L32" s="10" t="s">
        <v>22</v>
      </c>
      <c r="M32" s="10">
        <f t="shared" si="3"/>
        <v>1627999</v>
      </c>
      <c r="N32" s="10" t="s">
        <v>43</v>
      </c>
      <c r="O32" s="10" t="s">
        <v>151</v>
      </c>
      <c r="P32" s="10">
        <v>1074000</v>
      </c>
      <c r="Q32" s="12"/>
      <c r="R32" s="10"/>
    </row>
    <row r="33" spans="1:18">
      <c r="A33" s="135" t="s">
        <v>83</v>
      </c>
      <c r="B33" s="136"/>
      <c r="C33" s="136"/>
      <c r="D33" s="137"/>
      <c r="E33" s="45" t="s">
        <v>35</v>
      </c>
      <c r="F33" s="45" t="s">
        <v>36</v>
      </c>
      <c r="G33" s="25">
        <f>IF(G34+G35+G36&gt;=1,1,0)</f>
        <v>0</v>
      </c>
      <c r="J33" s="10">
        <v>1628000</v>
      </c>
      <c r="K33" s="10" t="s">
        <v>43</v>
      </c>
      <c r="L33" s="10" t="s">
        <v>22</v>
      </c>
      <c r="M33" s="10">
        <f t="shared" si="3"/>
        <v>1799999</v>
      </c>
      <c r="N33" s="10" t="s">
        <v>43</v>
      </c>
      <c r="O33" s="10" t="s">
        <v>152</v>
      </c>
      <c r="P33" s="10">
        <v>4</v>
      </c>
      <c r="Q33" s="15">
        <v>2.4</v>
      </c>
      <c r="R33" s="10">
        <v>-100000</v>
      </c>
    </row>
    <row r="34" spans="1:18">
      <c r="A34" s="10" t="s">
        <v>50</v>
      </c>
      <c r="B34" s="73"/>
      <c r="C34" s="10" t="str">
        <f>IF(B34="","",DATEDIF(B34,B35,"y"))</f>
        <v/>
      </c>
      <c r="D34" s="12" t="s">
        <v>61</v>
      </c>
      <c r="E34" s="17"/>
      <c r="F34" s="10">
        <f>IF(E34&gt;=$J$48,E34*$P$48-$Q$48,IF(E34&gt;$M$43,E34*VLOOKUP(E34,$J$44:$Q$47,7,TRUE)-VLOOKUP(E34,$J$44:$Q$47,8,TRUE),0))</f>
        <v>0</v>
      </c>
      <c r="G34" s="25">
        <f>IF(E34&gt;1100000,1,0)</f>
        <v>0</v>
      </c>
      <c r="J34" s="10">
        <v>1800000</v>
      </c>
      <c r="K34" s="10" t="s">
        <v>43</v>
      </c>
      <c r="L34" s="10" t="s">
        <v>22</v>
      </c>
      <c r="M34" s="10">
        <f t="shared" si="3"/>
        <v>3599999</v>
      </c>
      <c r="N34" s="10" t="s">
        <v>43</v>
      </c>
      <c r="O34" s="10" t="s">
        <v>153</v>
      </c>
      <c r="P34" s="10">
        <v>4</v>
      </c>
      <c r="Q34" s="15">
        <v>2.8</v>
      </c>
      <c r="R34" s="10">
        <v>80000</v>
      </c>
    </row>
    <row r="35" spans="1:18">
      <c r="A35" s="10" t="s">
        <v>60</v>
      </c>
      <c r="B35" s="71">
        <f>B27</f>
        <v>45748</v>
      </c>
      <c r="C35" s="10"/>
      <c r="D35" s="12" t="s">
        <v>62</v>
      </c>
      <c r="E35" s="17"/>
      <c r="F35" s="10">
        <f>IF(E35&gt;$J$58,E35*$P$58-$Q$58,IF(E35&gt;$M$53,E35*VLOOKUP(E35,$J$54:$Q$57,7,TRUE)-VLOOKUP(E35,$J$54:$Q$57,8,TRUE),0))</f>
        <v>0</v>
      </c>
      <c r="G35" s="25">
        <f>IF(E35&gt;600000,1,0)</f>
        <v>0</v>
      </c>
      <c r="J35" s="10">
        <v>3600000</v>
      </c>
      <c r="K35" s="10" t="s">
        <v>43</v>
      </c>
      <c r="L35" s="10" t="s">
        <v>22</v>
      </c>
      <c r="M35" s="10">
        <f t="shared" si="3"/>
        <v>6599999</v>
      </c>
      <c r="N35" s="10" t="s">
        <v>43</v>
      </c>
      <c r="O35" s="10" t="s">
        <v>154</v>
      </c>
      <c r="P35" s="10">
        <v>4</v>
      </c>
      <c r="Q35" s="15">
        <v>3.2</v>
      </c>
      <c r="R35" s="10">
        <v>440000</v>
      </c>
    </row>
    <row r="36" spans="1:18">
      <c r="A36" s="10" t="s">
        <v>51</v>
      </c>
      <c r="B36" s="70"/>
      <c r="C36" s="10"/>
      <c r="D36" s="12" t="s">
        <v>34</v>
      </c>
      <c r="E36" s="17"/>
      <c r="F36" s="10">
        <f>IF(E36&gt;$J$37,E36-$R$37,IF(E36&gt;$M$35,E36*$Q$36-$R$36,IF(E36&gt;$M$32,ROUNDDOWN(E36/4,-3)*VLOOKUP(E36,J$33:$R$35,8,TRUE)-VLOOKUP(E36,$J$33:$R$35,9,TRUE),IF(E36&gt;$M$28,VLOOKUP(E36,$J$29:$P$32,7,TRUE),IF(E36&gt;$M$27,E36-$P$28,0)))))</f>
        <v>0</v>
      </c>
      <c r="G36" s="25">
        <f>IF(E36&gt;550000,1,0)</f>
        <v>0</v>
      </c>
      <c r="J36" s="10">
        <v>6600000</v>
      </c>
      <c r="K36" s="10" t="s">
        <v>43</v>
      </c>
      <c r="L36" s="10" t="s">
        <v>22</v>
      </c>
      <c r="M36" s="10">
        <f t="shared" si="3"/>
        <v>8499999</v>
      </c>
      <c r="N36" s="10" t="s">
        <v>43</v>
      </c>
      <c r="O36" s="10" t="s">
        <v>155</v>
      </c>
      <c r="P36" s="10">
        <v>1</v>
      </c>
      <c r="Q36" s="15">
        <v>0.9</v>
      </c>
      <c r="R36" s="10">
        <v>1100000</v>
      </c>
    </row>
    <row r="37" spans="1:18">
      <c r="A37" s="10"/>
      <c r="B37" s="45"/>
      <c r="C37" s="10"/>
      <c r="D37" s="12" t="s">
        <v>173</v>
      </c>
      <c r="E37" s="49" t="s">
        <v>175</v>
      </c>
      <c r="F37" s="17"/>
      <c r="G37" s="25"/>
      <c r="J37" s="10">
        <v>8500000</v>
      </c>
      <c r="K37" s="10" t="s">
        <v>43</v>
      </c>
      <c r="L37" s="10" t="s">
        <v>22</v>
      </c>
      <c r="M37" s="10"/>
      <c r="N37" s="10" t="s">
        <v>43</v>
      </c>
      <c r="O37" s="10" t="s">
        <v>156</v>
      </c>
      <c r="P37" s="10"/>
      <c r="Q37" s="12"/>
      <c r="R37" s="10">
        <v>1950000</v>
      </c>
    </row>
    <row r="38" spans="1:18">
      <c r="A38" s="12"/>
      <c r="B38" s="14"/>
      <c r="C38" s="12"/>
      <c r="D38" s="12" t="s">
        <v>37</v>
      </c>
      <c r="E38" s="49" t="s">
        <v>175</v>
      </c>
      <c r="F38" s="17"/>
      <c r="G38" s="25"/>
      <c r="J38" s="11" t="s">
        <v>71</v>
      </c>
    </row>
    <row r="39" spans="1:18">
      <c r="A39" s="10" t="s">
        <v>54</v>
      </c>
      <c r="B39" s="70" t="s">
        <v>176</v>
      </c>
      <c r="C39" s="21">
        <f>IF(B39="未申告",1,0)</f>
        <v>0</v>
      </c>
      <c r="D39" s="12" t="s">
        <v>52</v>
      </c>
      <c r="E39" s="49" t="s">
        <v>175</v>
      </c>
      <c r="F39" s="10">
        <f>F34+F35+F36+F38</f>
        <v>0</v>
      </c>
      <c r="G39" s="25"/>
    </row>
    <row r="40" spans="1:18">
      <c r="A40" s="10" t="s">
        <v>63</v>
      </c>
      <c r="B40" s="70" t="s">
        <v>176</v>
      </c>
      <c r="C40" s="10"/>
      <c r="D40" s="12" t="s">
        <v>53</v>
      </c>
      <c r="E40" s="49" t="s">
        <v>175</v>
      </c>
      <c r="F40" s="10">
        <f>IF(B39="未申告",10000000,IF(F34&lt;150000,0,F34-150000)+IF(F35&lt;150000,0,F35)+F36+F37+F38)</f>
        <v>0</v>
      </c>
      <c r="G40" s="25"/>
      <c r="J40" s="41" t="s">
        <v>164</v>
      </c>
    </row>
    <row r="41" spans="1:18">
      <c r="J41" s="11" t="s">
        <v>159</v>
      </c>
    </row>
    <row r="42" spans="1:18">
      <c r="A42" s="138" t="s">
        <v>84</v>
      </c>
      <c r="B42" s="139"/>
      <c r="C42" s="139"/>
      <c r="D42" s="140"/>
      <c r="E42" s="45" t="s">
        <v>35</v>
      </c>
      <c r="F42" s="45" t="s">
        <v>36</v>
      </c>
      <c r="G42" s="25">
        <f>IF(G43+G44&gt;=1,1,0)</f>
        <v>0</v>
      </c>
      <c r="J42" s="141" t="s">
        <v>45</v>
      </c>
      <c r="K42" s="141"/>
      <c r="L42" s="141"/>
      <c r="M42" s="141"/>
      <c r="N42" s="141"/>
      <c r="O42" s="132" t="s">
        <v>48</v>
      </c>
      <c r="P42" s="133"/>
      <c r="Q42" s="134"/>
    </row>
    <row r="43" spans="1:18">
      <c r="A43" s="10" t="s">
        <v>50</v>
      </c>
      <c r="B43" s="74"/>
      <c r="C43" s="10" t="str">
        <f>IF(B43="","",DATEDIF(B43,B44,"y"))</f>
        <v/>
      </c>
      <c r="D43" s="12" t="s">
        <v>61</v>
      </c>
      <c r="E43" s="17"/>
      <c r="F43" s="10">
        <f>IF(E43&gt;=$J$48,E43*$P$48-$Q$48,IF(E43&gt;$M$43,E43*VLOOKUP(E43,$J$44:$Q$47,7,TRUE)-VLOOKUP(E43,$J$44:$Q$47,8,TRUE),0))</f>
        <v>0</v>
      </c>
      <c r="G43" s="25">
        <f>IF(E43&gt;1100000,1,0)</f>
        <v>0</v>
      </c>
      <c r="J43" s="10">
        <v>0</v>
      </c>
      <c r="K43" s="10" t="s">
        <v>43</v>
      </c>
      <c r="L43" s="10" t="s">
        <v>22</v>
      </c>
      <c r="M43" s="10">
        <f>J44-1</f>
        <v>1100000</v>
      </c>
      <c r="N43" s="10" t="s">
        <v>43</v>
      </c>
      <c r="O43" s="10" t="s">
        <v>44</v>
      </c>
      <c r="P43" s="10">
        <v>0</v>
      </c>
      <c r="Q43" s="12"/>
    </row>
    <row r="44" spans="1:18">
      <c r="A44" s="10" t="s">
        <v>60</v>
      </c>
      <c r="B44" s="71">
        <f>B27</f>
        <v>45748</v>
      </c>
      <c r="C44" s="10"/>
      <c r="D44" s="12" t="s">
        <v>34</v>
      </c>
      <c r="E44" s="17"/>
      <c r="F44" s="10">
        <f>IF(E44&gt;$J$37,E44-$R$37,IF(E44&gt;$M$35,E44*$Q$36-$R$36,IF(E44&gt;$M$32,ROUNDDOWN(E44/4,-3)*VLOOKUP(E44,J$33:$R$35,8,TRUE)-VLOOKUP(E44,$J$33:$R$35,9,TRUE),IF(E44&gt;$M$28,VLOOKUP(E44,$J$29:$P$32,7,TRUE),IF(E44&gt;$M$27,E44-$P$28,0)))))</f>
        <v>0</v>
      </c>
      <c r="G44" s="25">
        <f>IF(E44&gt;550000,1,0)</f>
        <v>0</v>
      </c>
      <c r="J44" s="10">
        <v>1100001</v>
      </c>
      <c r="K44" s="10" t="s">
        <v>43</v>
      </c>
      <c r="L44" s="10" t="s">
        <v>22</v>
      </c>
      <c r="M44" s="10">
        <f t="shared" ref="M44:M47" si="4">J45-1</f>
        <v>3299999</v>
      </c>
      <c r="N44" s="10" t="s">
        <v>43</v>
      </c>
      <c r="O44" s="10" t="s">
        <v>162</v>
      </c>
      <c r="P44" s="16">
        <v>1</v>
      </c>
      <c r="Q44" s="10">
        <v>1100000</v>
      </c>
    </row>
    <row r="45" spans="1:18">
      <c r="A45" s="10" t="s">
        <v>51</v>
      </c>
      <c r="B45" s="72"/>
      <c r="C45" s="10"/>
      <c r="D45" s="12" t="s">
        <v>173</v>
      </c>
      <c r="E45" s="49" t="s">
        <v>174</v>
      </c>
      <c r="F45" s="17"/>
      <c r="G45" s="25"/>
      <c r="J45" s="10">
        <v>3300000</v>
      </c>
      <c r="K45" s="10" t="s">
        <v>43</v>
      </c>
      <c r="L45" s="10" t="s">
        <v>22</v>
      </c>
      <c r="M45" s="10">
        <f t="shared" si="4"/>
        <v>4099999</v>
      </c>
      <c r="N45" s="10" t="s">
        <v>43</v>
      </c>
      <c r="O45" s="10" t="s">
        <v>68</v>
      </c>
      <c r="P45" s="16">
        <v>0.75</v>
      </c>
      <c r="Q45" s="10">
        <v>275000</v>
      </c>
    </row>
    <row r="46" spans="1:18">
      <c r="A46" s="12"/>
      <c r="B46" s="14"/>
      <c r="C46" s="12"/>
      <c r="D46" s="12" t="s">
        <v>37</v>
      </c>
      <c r="E46" s="49" t="s">
        <v>174</v>
      </c>
      <c r="F46" s="17"/>
      <c r="G46" s="25"/>
      <c r="J46" s="10">
        <v>4100000</v>
      </c>
      <c r="K46" s="10" t="s">
        <v>43</v>
      </c>
      <c r="L46" s="10" t="s">
        <v>22</v>
      </c>
      <c r="M46" s="10">
        <f t="shared" si="4"/>
        <v>7699999</v>
      </c>
      <c r="N46" s="10" t="s">
        <v>43</v>
      </c>
      <c r="O46" s="10" t="s">
        <v>69</v>
      </c>
      <c r="P46" s="16">
        <v>0.85</v>
      </c>
      <c r="Q46" s="10">
        <v>685000</v>
      </c>
    </row>
    <row r="47" spans="1:18">
      <c r="A47" s="10" t="s">
        <v>54</v>
      </c>
      <c r="B47" s="70"/>
      <c r="C47" s="21">
        <f>IF(B47="未申告",1,0)</f>
        <v>0</v>
      </c>
      <c r="D47" s="12" t="s">
        <v>52</v>
      </c>
      <c r="E47" s="49" t="s">
        <v>174</v>
      </c>
      <c r="F47" s="10">
        <f>F43+F44+F46</f>
        <v>0</v>
      </c>
      <c r="G47" s="25"/>
      <c r="J47" s="10">
        <v>7700000</v>
      </c>
      <c r="K47" s="10" t="s">
        <v>43</v>
      </c>
      <c r="L47" s="10" t="s">
        <v>22</v>
      </c>
      <c r="M47" s="10">
        <f t="shared" si="4"/>
        <v>9999999</v>
      </c>
      <c r="N47" s="10" t="s">
        <v>43</v>
      </c>
      <c r="O47" s="10" t="s">
        <v>70</v>
      </c>
      <c r="P47" s="16">
        <v>0.95</v>
      </c>
      <c r="Q47" s="10">
        <v>1455000</v>
      </c>
    </row>
    <row r="48" spans="1:18">
      <c r="A48" s="12"/>
      <c r="B48" s="14"/>
      <c r="C48" s="10"/>
      <c r="D48" s="12" t="s">
        <v>53</v>
      </c>
      <c r="E48" s="49" t="s">
        <v>174</v>
      </c>
      <c r="F48" s="10">
        <f>IF(B47="未申告",10000000,IF(F43&lt;150000,0,F43-150000)+F44+F45+F46)</f>
        <v>0</v>
      </c>
      <c r="G48" s="25"/>
      <c r="J48" s="10">
        <v>10000000</v>
      </c>
      <c r="K48" s="10" t="s">
        <v>43</v>
      </c>
      <c r="L48" s="10" t="s">
        <v>22</v>
      </c>
      <c r="M48" s="10"/>
      <c r="N48" s="10" t="s">
        <v>43</v>
      </c>
      <c r="O48" s="40" t="s">
        <v>163</v>
      </c>
      <c r="P48" s="16">
        <v>1</v>
      </c>
      <c r="Q48" s="10">
        <v>1955000</v>
      </c>
    </row>
    <row r="49" spans="1:22">
      <c r="D49"/>
      <c r="E49"/>
      <c r="J49" s="11" t="s">
        <v>160</v>
      </c>
      <c r="K49" s="38"/>
      <c r="L49" s="38"/>
      <c r="M49" s="38"/>
      <c r="N49" s="38"/>
      <c r="O49" s="38"/>
      <c r="P49" s="39"/>
      <c r="Q49" s="38"/>
    </row>
    <row r="50" spans="1:22">
      <c r="A50" s="46" t="s">
        <v>85</v>
      </c>
      <c r="B50" s="47"/>
      <c r="C50" s="47"/>
      <c r="D50" s="48"/>
      <c r="E50" s="45" t="s">
        <v>35</v>
      </c>
      <c r="F50" s="45" t="s">
        <v>36</v>
      </c>
      <c r="G50" s="25">
        <f>IF(G51+G52&gt;=1,1,0)</f>
        <v>0</v>
      </c>
    </row>
    <row r="51" spans="1:22">
      <c r="A51" s="10" t="s">
        <v>15</v>
      </c>
      <c r="B51" s="74"/>
      <c r="C51" s="10" t="str">
        <f>IF(B51="","",DATEDIF(B51,B52,"y"))</f>
        <v/>
      </c>
      <c r="D51" s="12" t="s">
        <v>61</v>
      </c>
      <c r="E51" s="17"/>
      <c r="F51" s="10">
        <f>IF(E51&gt;=$J$48,E51*$P$48-$Q$48,IF(E51&gt;$M$43,E51*VLOOKUP(E51,$J$44:$Q$47,7,TRUE)-VLOOKUP(E51,$J$44:$Q$47,8,TRUE),0))</f>
        <v>0</v>
      </c>
      <c r="G51" s="25">
        <f>IF(E51&gt;1100000,1,0)</f>
        <v>0</v>
      </c>
      <c r="J51" s="11" t="s">
        <v>158</v>
      </c>
    </row>
    <row r="52" spans="1:22">
      <c r="A52" s="10" t="s">
        <v>60</v>
      </c>
      <c r="B52" s="71">
        <f>B44</f>
        <v>45748</v>
      </c>
      <c r="C52" s="10"/>
      <c r="D52" s="12" t="s">
        <v>34</v>
      </c>
      <c r="E52" s="17"/>
      <c r="F52" s="10">
        <f>IF(E52&gt;$J$37,E52-$R$37,IF(E52&gt;$M$35,E52*$Q$36-$R$36,IF(E52&gt;$M$32,ROUNDDOWN(E52/4,-3)*VLOOKUP(E52,J$33:$R$35,8,TRUE)-VLOOKUP(E52,$J$33:$R$35,9,TRUE),IF(E52&gt;$M$28,VLOOKUP(E52,$J$29:$P$32,7,TRUE),IF(E52&gt;$M$27,E52-$P$28,0)))))</f>
        <v>0</v>
      </c>
      <c r="G52" s="25">
        <f>IF(E52&gt;550000,1,0)</f>
        <v>0</v>
      </c>
      <c r="J52" s="141" t="s">
        <v>45</v>
      </c>
      <c r="K52" s="141"/>
      <c r="L52" s="141"/>
      <c r="M52" s="141"/>
      <c r="N52" s="141"/>
      <c r="O52" s="141" t="s">
        <v>48</v>
      </c>
      <c r="P52" s="141"/>
      <c r="Q52" s="141"/>
    </row>
    <row r="53" spans="1:22">
      <c r="A53" s="10" t="s">
        <v>51</v>
      </c>
      <c r="B53" s="72"/>
      <c r="C53" s="10"/>
      <c r="D53" s="12" t="s">
        <v>173</v>
      </c>
      <c r="E53" s="49" t="s">
        <v>174</v>
      </c>
      <c r="F53" s="17"/>
      <c r="G53" s="25"/>
      <c r="J53" s="10">
        <v>0</v>
      </c>
      <c r="K53" s="10" t="s">
        <v>43</v>
      </c>
      <c r="L53" s="10" t="s">
        <v>22</v>
      </c>
      <c r="M53" s="10">
        <f>J54-1</f>
        <v>600000</v>
      </c>
      <c r="N53" s="10" t="s">
        <v>43</v>
      </c>
      <c r="O53" s="10" t="s">
        <v>44</v>
      </c>
      <c r="P53" s="10">
        <v>0</v>
      </c>
      <c r="Q53" s="12">
        <v>0</v>
      </c>
    </row>
    <row r="54" spans="1:22">
      <c r="A54" s="12"/>
      <c r="B54" s="14"/>
      <c r="C54" s="12"/>
      <c r="D54" s="12" t="s">
        <v>37</v>
      </c>
      <c r="E54" s="49" t="s">
        <v>174</v>
      </c>
      <c r="F54" s="17"/>
      <c r="G54" s="25"/>
      <c r="J54" s="10">
        <v>600001</v>
      </c>
      <c r="K54" s="10" t="s">
        <v>43</v>
      </c>
      <c r="L54" s="10" t="s">
        <v>22</v>
      </c>
      <c r="M54" s="10">
        <f t="shared" ref="M54:M56" si="5">J55-1</f>
        <v>1299999</v>
      </c>
      <c r="N54" s="10" t="s">
        <v>43</v>
      </c>
      <c r="O54" s="10" t="s">
        <v>161</v>
      </c>
      <c r="P54" s="13">
        <v>1</v>
      </c>
      <c r="Q54" s="10">
        <v>600000</v>
      </c>
    </row>
    <row r="55" spans="1:22">
      <c r="A55" s="10" t="s">
        <v>54</v>
      </c>
      <c r="B55" s="70" t="s">
        <v>176</v>
      </c>
      <c r="C55" s="21">
        <f>IF(B55="未申告",1,0)</f>
        <v>0</v>
      </c>
      <c r="D55" s="12" t="s">
        <v>52</v>
      </c>
      <c r="E55" s="49" t="s">
        <v>174</v>
      </c>
      <c r="F55" s="10">
        <f>F51+F52+F54</f>
        <v>0</v>
      </c>
      <c r="G55" s="25"/>
      <c r="J55" s="10">
        <v>1300000</v>
      </c>
      <c r="K55" s="10" t="s">
        <v>43</v>
      </c>
      <c r="L55" s="10" t="s">
        <v>22</v>
      </c>
      <c r="M55" s="10">
        <f t="shared" si="5"/>
        <v>4099999</v>
      </c>
      <c r="N55" s="10" t="s">
        <v>43</v>
      </c>
      <c r="O55" s="10" t="s">
        <v>68</v>
      </c>
      <c r="P55" s="16">
        <v>0.75</v>
      </c>
      <c r="Q55" s="10">
        <v>275000</v>
      </c>
    </row>
    <row r="56" spans="1:22">
      <c r="A56" s="12"/>
      <c r="B56" s="14"/>
      <c r="C56" s="10"/>
      <c r="D56" s="12" t="s">
        <v>53</v>
      </c>
      <c r="E56" s="49" t="s">
        <v>174</v>
      </c>
      <c r="F56" s="10">
        <f>IF(B55="未申告",10000000,IF(F51&lt;150000,0,F51-150000)+F52+F53+F54)</f>
        <v>0</v>
      </c>
      <c r="G56" s="25"/>
      <c r="J56" s="10">
        <v>4100000</v>
      </c>
      <c r="K56" s="10" t="s">
        <v>43</v>
      </c>
      <c r="L56" s="10" t="s">
        <v>22</v>
      </c>
      <c r="M56" s="10">
        <f t="shared" si="5"/>
        <v>7699999</v>
      </c>
      <c r="N56" s="10" t="s">
        <v>43</v>
      </c>
      <c r="O56" s="10" t="s">
        <v>69</v>
      </c>
      <c r="P56" s="16">
        <v>0.85</v>
      </c>
      <c r="Q56" s="10">
        <v>685000</v>
      </c>
    </row>
    <row r="57" spans="1:22">
      <c r="D57"/>
      <c r="E57"/>
      <c r="J57" s="10">
        <v>7700000</v>
      </c>
      <c r="K57" s="10" t="s">
        <v>43</v>
      </c>
      <c r="L57" s="10" t="s">
        <v>22</v>
      </c>
      <c r="M57" s="10">
        <v>9999999</v>
      </c>
      <c r="N57" s="10" t="s">
        <v>43</v>
      </c>
      <c r="O57" s="10" t="s">
        <v>70</v>
      </c>
      <c r="P57" s="16">
        <v>0.95</v>
      </c>
      <c r="Q57" s="10">
        <v>1455000</v>
      </c>
    </row>
    <row r="58" spans="1:22">
      <c r="A58" s="46" t="s">
        <v>86</v>
      </c>
      <c r="B58" s="47"/>
      <c r="C58" s="47"/>
      <c r="D58" s="48"/>
      <c r="E58" s="45" t="s">
        <v>35</v>
      </c>
      <c r="F58" s="45" t="s">
        <v>36</v>
      </c>
      <c r="G58" s="25">
        <f>IF(G59+G60&gt;=1,1,0)</f>
        <v>0</v>
      </c>
      <c r="J58" s="10">
        <v>10000000</v>
      </c>
      <c r="K58" s="10" t="s">
        <v>43</v>
      </c>
      <c r="L58" s="10" t="s">
        <v>22</v>
      </c>
      <c r="M58" s="10"/>
      <c r="N58" s="10" t="s">
        <v>43</v>
      </c>
      <c r="O58" s="40" t="s">
        <v>163</v>
      </c>
      <c r="P58" s="16">
        <v>1</v>
      </c>
      <c r="Q58" s="10">
        <v>1955000</v>
      </c>
    </row>
    <row r="59" spans="1:22">
      <c r="A59" s="10" t="s">
        <v>15</v>
      </c>
      <c r="B59" s="74"/>
      <c r="C59" s="10" t="str">
        <f>IF(B59="","",DATEDIF(B59,B60,"y"))</f>
        <v/>
      </c>
      <c r="D59" s="12" t="s">
        <v>61</v>
      </c>
      <c r="E59" s="17"/>
      <c r="F59" s="10">
        <f>IF(E59&gt;=$J$48,E59*$P$48-$Q$48,IF(E59&gt;$M$43,E59*VLOOKUP(E59,$J$44:$Q$47,7,TRUE)-VLOOKUP(E59,$J$44:$Q$47,8,TRUE),0))</f>
        <v>0</v>
      </c>
      <c r="G59" s="25">
        <f>IF(E59&gt;1100000,1,0)</f>
        <v>0</v>
      </c>
      <c r="J59" s="11" t="s">
        <v>160</v>
      </c>
    </row>
    <row r="60" spans="1:22">
      <c r="A60" s="10" t="s">
        <v>60</v>
      </c>
      <c r="B60" s="71">
        <f>B52</f>
        <v>45748</v>
      </c>
      <c r="C60" s="10"/>
      <c r="D60" s="12" t="s">
        <v>34</v>
      </c>
      <c r="E60" s="17"/>
      <c r="F60" s="10">
        <f>IF(E60&gt;$J$37,E60-$R$37,IF(E60&gt;$M$35,E60*$Q$36-$R$36,IF(E60&gt;$M$32,ROUNDDOWN(E60/4,-3)*VLOOKUP(E60,J$33:$R$35,8,TRUE)-VLOOKUP(E60,$J$33:$R$35,9,TRUE),IF(E60&gt;$M$28,VLOOKUP(E60,$J$29:$P$32,7,TRUE),IF(E60&gt;$M$27,E60-$P$28,0)))))</f>
        <v>0</v>
      </c>
      <c r="G60" s="25">
        <f>IF(E60&gt;550000,1,0)</f>
        <v>0</v>
      </c>
    </row>
    <row r="61" spans="1:22">
      <c r="A61" s="10" t="s">
        <v>51</v>
      </c>
      <c r="B61" s="72"/>
      <c r="C61" s="10"/>
      <c r="D61" s="12" t="s">
        <v>173</v>
      </c>
      <c r="E61" s="49" t="s">
        <v>174</v>
      </c>
      <c r="F61" s="17"/>
      <c r="G61" s="25"/>
    </row>
    <row r="62" spans="1:22">
      <c r="A62" s="12"/>
      <c r="B62" s="14"/>
      <c r="C62" s="12"/>
      <c r="D62" s="12" t="s">
        <v>37</v>
      </c>
      <c r="E62" s="49" t="s">
        <v>174</v>
      </c>
      <c r="F62" s="17"/>
      <c r="G62" s="25"/>
      <c r="J62" s="11" t="s">
        <v>165</v>
      </c>
    </row>
    <row r="63" spans="1:22">
      <c r="A63" s="10" t="s">
        <v>54</v>
      </c>
      <c r="B63" s="70" t="s">
        <v>176</v>
      </c>
      <c r="C63" s="21">
        <f>IF(B63="未申告",1,0)</f>
        <v>0</v>
      </c>
      <c r="D63" s="12" t="s">
        <v>52</v>
      </c>
      <c r="E63" s="49" t="s">
        <v>174</v>
      </c>
      <c r="F63" s="10">
        <f>F59+F60+F62</f>
        <v>0</v>
      </c>
      <c r="G63" s="25"/>
      <c r="J63" s="11" t="s">
        <v>166</v>
      </c>
    </row>
    <row r="64" spans="1:22">
      <c r="A64" s="12"/>
      <c r="B64" s="14"/>
      <c r="C64" s="10"/>
      <c r="D64" s="12" t="s">
        <v>53</v>
      </c>
      <c r="E64" s="49" t="s">
        <v>174</v>
      </c>
      <c r="F64" s="10">
        <f>IF(B63="未申告",10000000,IF(F59&lt;150000,0,F59-150000)+F60+F61+F62)</f>
        <v>0</v>
      </c>
      <c r="G64" s="25"/>
      <c r="J64" s="141" t="s">
        <v>45</v>
      </c>
      <c r="K64" s="141"/>
      <c r="L64" s="141"/>
      <c r="M64" s="141"/>
      <c r="N64" s="141"/>
      <c r="O64" s="132" t="s">
        <v>47</v>
      </c>
      <c r="P64" s="133"/>
      <c r="Q64" s="134"/>
      <c r="V64">
        <v>100000</v>
      </c>
    </row>
    <row r="65" spans="10:17">
      <c r="J65" s="10">
        <v>0</v>
      </c>
      <c r="K65" s="10" t="s">
        <v>43</v>
      </c>
      <c r="L65" s="10" t="s">
        <v>22</v>
      </c>
      <c r="M65" s="10">
        <f>J66-1</f>
        <v>1200000</v>
      </c>
      <c r="N65" s="10" t="s">
        <v>43</v>
      </c>
      <c r="O65" s="10" t="s">
        <v>44</v>
      </c>
      <c r="P65" s="10">
        <v>0</v>
      </c>
      <c r="Q65" s="12"/>
    </row>
    <row r="66" spans="10:17">
      <c r="J66" s="10">
        <v>1200001</v>
      </c>
      <c r="K66" s="10" t="s">
        <v>43</v>
      </c>
      <c r="L66" s="10" t="s">
        <v>22</v>
      </c>
      <c r="M66" s="10">
        <f t="shared" ref="M66:M68" si="6">J67-1</f>
        <v>3299999</v>
      </c>
      <c r="N66" s="10" t="s">
        <v>43</v>
      </c>
      <c r="O66" s="10" t="s">
        <v>46</v>
      </c>
      <c r="P66" s="16">
        <v>1</v>
      </c>
      <c r="Q66" s="10">
        <v>1200000</v>
      </c>
    </row>
    <row r="67" spans="10:17">
      <c r="J67" s="10">
        <v>3300000</v>
      </c>
      <c r="K67" s="10" t="s">
        <v>43</v>
      </c>
      <c r="L67" s="10" t="s">
        <v>22</v>
      </c>
      <c r="M67" s="10">
        <f t="shared" si="6"/>
        <v>4099999</v>
      </c>
      <c r="N67" s="10" t="s">
        <v>43</v>
      </c>
      <c r="O67" s="10" t="s">
        <v>68</v>
      </c>
      <c r="P67" s="16">
        <v>0.75</v>
      </c>
      <c r="Q67" s="10">
        <v>375000</v>
      </c>
    </row>
    <row r="68" spans="10:17">
      <c r="J68" s="10">
        <v>4100000</v>
      </c>
      <c r="K68" s="10" t="s">
        <v>43</v>
      </c>
      <c r="L68" s="10" t="s">
        <v>22</v>
      </c>
      <c r="M68" s="10">
        <f t="shared" si="6"/>
        <v>7699999</v>
      </c>
      <c r="N68" s="10" t="s">
        <v>43</v>
      </c>
      <c r="O68" s="10" t="s">
        <v>69</v>
      </c>
      <c r="P68" s="16">
        <v>0.85</v>
      </c>
      <c r="Q68" s="10">
        <v>785000</v>
      </c>
    </row>
    <row r="69" spans="10:17">
      <c r="J69" s="10">
        <v>7700000</v>
      </c>
      <c r="K69" s="10" t="s">
        <v>43</v>
      </c>
      <c r="L69" s="10" t="s">
        <v>22</v>
      </c>
      <c r="M69" s="10"/>
      <c r="N69" s="10" t="s">
        <v>43</v>
      </c>
      <c r="O69" s="10" t="s">
        <v>70</v>
      </c>
      <c r="P69" s="16">
        <v>0.95</v>
      </c>
      <c r="Q69" s="10">
        <v>1555000</v>
      </c>
    </row>
    <row r="71" spans="10:17">
      <c r="J71" s="11" t="s">
        <v>167</v>
      </c>
    </row>
    <row r="72" spans="10:17">
      <c r="J72" s="141" t="s">
        <v>45</v>
      </c>
      <c r="K72" s="141"/>
      <c r="L72" s="141"/>
      <c r="M72" s="141"/>
      <c r="N72" s="141"/>
      <c r="O72" s="141" t="s">
        <v>47</v>
      </c>
      <c r="P72" s="141"/>
      <c r="Q72" s="141"/>
    </row>
    <row r="73" spans="10:17">
      <c r="J73" s="10">
        <v>0</v>
      </c>
      <c r="K73" s="10" t="s">
        <v>43</v>
      </c>
      <c r="L73" s="10" t="s">
        <v>22</v>
      </c>
      <c r="M73" s="10">
        <f>J74-1</f>
        <v>700000</v>
      </c>
      <c r="N73" s="10" t="s">
        <v>43</v>
      </c>
      <c r="O73" s="10" t="s">
        <v>44</v>
      </c>
      <c r="P73" s="10">
        <v>0</v>
      </c>
      <c r="Q73" s="12">
        <v>0</v>
      </c>
    </row>
    <row r="74" spans="10:17">
      <c r="J74" s="10">
        <v>700001</v>
      </c>
      <c r="K74" s="10" t="s">
        <v>43</v>
      </c>
      <c r="L74" s="10" t="s">
        <v>22</v>
      </c>
      <c r="M74" s="10">
        <f t="shared" ref="M74:M76" si="7">J75-1</f>
        <v>1299999</v>
      </c>
      <c r="N74" s="10" t="s">
        <v>43</v>
      </c>
      <c r="O74" s="10" t="s">
        <v>49</v>
      </c>
      <c r="P74" s="13">
        <v>1</v>
      </c>
      <c r="Q74" s="10">
        <v>700000</v>
      </c>
    </row>
    <row r="75" spans="10:17">
      <c r="J75" s="10">
        <v>1300000</v>
      </c>
      <c r="K75" s="10" t="s">
        <v>43</v>
      </c>
      <c r="L75" s="10" t="s">
        <v>22</v>
      </c>
      <c r="M75" s="10">
        <f t="shared" si="7"/>
        <v>4099999</v>
      </c>
      <c r="N75" s="10" t="s">
        <v>43</v>
      </c>
      <c r="O75" s="10" t="s">
        <v>68</v>
      </c>
      <c r="P75" s="16">
        <v>0.75</v>
      </c>
      <c r="Q75" s="10">
        <v>375000</v>
      </c>
    </row>
    <row r="76" spans="10:17">
      <c r="J76" s="10">
        <v>4100000</v>
      </c>
      <c r="K76" s="10" t="s">
        <v>43</v>
      </c>
      <c r="L76" s="10" t="s">
        <v>22</v>
      </c>
      <c r="M76" s="10">
        <f t="shared" si="7"/>
        <v>7699999</v>
      </c>
      <c r="N76" s="10" t="s">
        <v>43</v>
      </c>
      <c r="O76" s="10" t="s">
        <v>69</v>
      </c>
      <c r="P76" s="16">
        <v>0.85</v>
      </c>
      <c r="Q76" s="10">
        <v>785000</v>
      </c>
    </row>
    <row r="77" spans="10:17">
      <c r="J77" s="10">
        <v>7700000</v>
      </c>
      <c r="K77" s="10" t="s">
        <v>43</v>
      </c>
      <c r="L77" s="10" t="s">
        <v>22</v>
      </c>
      <c r="M77" s="10"/>
      <c r="N77" s="10" t="s">
        <v>43</v>
      </c>
      <c r="O77" s="10" t="s">
        <v>70</v>
      </c>
      <c r="P77" s="16">
        <v>0.95</v>
      </c>
      <c r="Q77" s="10">
        <v>1555000</v>
      </c>
    </row>
    <row r="81" spans="10:15">
      <c r="J81" s="143" t="s">
        <v>194</v>
      </c>
      <c r="K81" s="144"/>
      <c r="L81" s="144"/>
      <c r="M81" s="145"/>
      <c r="N81" s="83"/>
      <c r="O81" s="85" t="s">
        <v>196</v>
      </c>
    </row>
    <row r="82" spans="10:15">
      <c r="J82" s="83">
        <v>24000000</v>
      </c>
      <c r="K82" s="128" t="s">
        <v>195</v>
      </c>
      <c r="L82" s="129"/>
      <c r="M82" s="130"/>
      <c r="N82" s="83"/>
      <c r="O82" s="84">
        <v>430000</v>
      </c>
    </row>
    <row r="83" spans="10:15">
      <c r="J83" s="83">
        <v>24000001</v>
      </c>
      <c r="K83" s="83" t="s">
        <v>43</v>
      </c>
      <c r="L83" s="83" t="s">
        <v>22</v>
      </c>
      <c r="M83" s="83">
        <v>24500000</v>
      </c>
      <c r="N83" s="83" t="s">
        <v>43</v>
      </c>
      <c r="O83" s="84">
        <v>290000</v>
      </c>
    </row>
    <row r="84" spans="10:15">
      <c r="J84" s="83">
        <v>24500001</v>
      </c>
      <c r="K84" s="83" t="s">
        <v>43</v>
      </c>
      <c r="L84" s="83" t="s">
        <v>22</v>
      </c>
      <c r="M84" s="83">
        <v>25000000</v>
      </c>
      <c r="N84" s="83" t="s">
        <v>43</v>
      </c>
      <c r="O84" s="84">
        <v>150000</v>
      </c>
    </row>
    <row r="85" spans="10:15">
      <c r="J85" s="83">
        <v>25000001</v>
      </c>
      <c r="K85" s="83" t="s">
        <v>43</v>
      </c>
      <c r="L85" s="83" t="s">
        <v>22</v>
      </c>
      <c r="M85" s="83"/>
      <c r="N85" s="83"/>
      <c r="O85" s="84">
        <v>0</v>
      </c>
    </row>
  </sheetData>
  <sheetProtection algorithmName="SHA-512" hashValue="A8/vjgTq1kwwEEOjSHnbtZopLgKmarNEpQhdF4y4ag7rQJyFIM+LwefEoybrdvjrYOdo9uZSTr3ZLzefPl5qyA==" saltValue="QLOhVzECuw8DPtxTnKwnGg==" spinCount="100000" sheet="1" objects="1" scenarios="1"/>
  <mergeCells count="16">
    <mergeCell ref="H14:I14"/>
    <mergeCell ref="J81:M81"/>
    <mergeCell ref="J64:N64"/>
    <mergeCell ref="O64:Q64"/>
    <mergeCell ref="J72:N72"/>
    <mergeCell ref="O72:Q72"/>
    <mergeCell ref="K82:M82"/>
    <mergeCell ref="A25:D25"/>
    <mergeCell ref="J26:N26"/>
    <mergeCell ref="O26:R26"/>
    <mergeCell ref="A33:D33"/>
    <mergeCell ref="A42:D42"/>
    <mergeCell ref="J52:N52"/>
    <mergeCell ref="O52:Q52"/>
    <mergeCell ref="J42:N42"/>
    <mergeCell ref="O42:Q42"/>
  </mergeCells>
  <phoneticPr fontId="3"/>
  <dataValidations count="2">
    <dataValidation type="list" allowBlank="1" showInputMessage="1" showErrorMessage="1" sqref="B40" xr:uid="{00000000-0002-0000-0100-000000000000}">
      <formula1>"　,いる,いない"</formula1>
    </dataValidation>
    <dataValidation type="list" allowBlank="1" showInputMessage="1" showErrorMessage="1" sqref="B47 B30 B39 B55 B63" xr:uid="{00000000-0002-0000-0100-000001000000}">
      <formula1>"　,申告済,未申告"</formula1>
    </dataValidation>
  </dataValidations>
  <pageMargins left="0.7" right="0.7" top="0.75" bottom="0.75" header="0.3" footer="0.3"/>
  <pageSetup paperSize="9" scale="3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60"/>
  <sheetViews>
    <sheetView topLeftCell="A40" zoomScale="80" zoomScaleNormal="80" workbookViewId="0">
      <selection sqref="A1:P61"/>
    </sheetView>
  </sheetViews>
  <sheetFormatPr defaultRowHeight="18.75"/>
  <cols>
    <col min="1" max="1" width="20.5" bestFit="1" customWidth="1"/>
    <col min="2" max="2" width="9.375" bestFit="1" customWidth="1"/>
    <col min="4" max="4" width="12.5" bestFit="1" customWidth="1"/>
    <col min="5" max="5" width="2.625" customWidth="1"/>
    <col min="6" max="6" width="5.25" bestFit="1" customWidth="1"/>
    <col min="7" max="9" width="7.625" customWidth="1"/>
    <col min="10" max="10" width="9.25" bestFit="1" customWidth="1"/>
    <col min="11" max="11" width="7.625" customWidth="1"/>
    <col min="12" max="12" width="9.25" bestFit="1" customWidth="1"/>
    <col min="13" max="13" width="2.625" customWidth="1"/>
    <col min="15" max="15" width="2.625" customWidth="1"/>
    <col min="16" max="16" width="15.875" bestFit="1" customWidth="1"/>
  </cols>
  <sheetData>
    <row r="1" spans="1:16">
      <c r="A1" t="s">
        <v>88</v>
      </c>
    </row>
    <row r="2" spans="1:16" ht="9.9499999999999993" customHeight="1"/>
    <row r="3" spans="1:16">
      <c r="A3" s="149" t="s">
        <v>103</v>
      </c>
      <c r="B3" s="153" t="s">
        <v>89</v>
      </c>
      <c r="C3" s="154"/>
      <c r="D3" s="155"/>
      <c r="E3" s="149"/>
      <c r="F3" s="152" t="s">
        <v>128</v>
      </c>
      <c r="G3" s="146" t="s">
        <v>113</v>
      </c>
      <c r="H3" s="147"/>
      <c r="I3" s="147"/>
      <c r="J3" s="147"/>
      <c r="K3" s="147"/>
      <c r="L3" s="148"/>
      <c r="M3" s="149"/>
      <c r="N3" s="14" t="s">
        <v>124</v>
      </c>
      <c r="O3" s="149"/>
      <c r="P3" s="14" t="s">
        <v>126</v>
      </c>
    </row>
    <row r="4" spans="1:16">
      <c r="A4" s="150"/>
      <c r="B4" s="156"/>
      <c r="C4" s="157"/>
      <c r="D4" s="158"/>
      <c r="E4" s="150"/>
      <c r="F4" s="150"/>
      <c r="G4" s="159" t="s">
        <v>115</v>
      </c>
      <c r="H4" s="159"/>
      <c r="I4" s="159" t="s">
        <v>118</v>
      </c>
      <c r="J4" s="159"/>
      <c r="K4" s="159" t="s">
        <v>119</v>
      </c>
      <c r="L4" s="159"/>
      <c r="M4" s="150"/>
      <c r="N4" s="14" t="s">
        <v>122</v>
      </c>
      <c r="O4" s="150"/>
      <c r="P4" s="152" t="s">
        <v>127</v>
      </c>
    </row>
    <row r="5" spans="1:16">
      <c r="A5" s="151"/>
      <c r="B5" s="14" t="s">
        <v>90</v>
      </c>
      <c r="C5" s="14" t="s">
        <v>91</v>
      </c>
      <c r="D5" s="14" t="s">
        <v>92</v>
      </c>
      <c r="E5" s="151"/>
      <c r="F5" s="151"/>
      <c r="G5" s="14" t="s">
        <v>104</v>
      </c>
      <c r="H5" s="14" t="s">
        <v>105</v>
      </c>
      <c r="I5" s="14" t="s">
        <v>106</v>
      </c>
      <c r="J5" s="14" t="s">
        <v>120</v>
      </c>
      <c r="K5" s="14" t="s">
        <v>107</v>
      </c>
      <c r="L5" s="14" t="s">
        <v>121</v>
      </c>
      <c r="M5" s="151"/>
      <c r="N5" s="14" t="s">
        <v>123</v>
      </c>
      <c r="O5" s="151"/>
      <c r="P5" s="151"/>
    </row>
    <row r="6" spans="1:16" ht="9.9499999999999993" customHeight="1">
      <c r="A6" s="14"/>
      <c r="B6" s="14"/>
      <c r="C6" s="14"/>
      <c r="D6" s="14"/>
      <c r="E6" s="14"/>
      <c r="F6" s="12"/>
      <c r="G6" s="12"/>
      <c r="H6" s="12"/>
      <c r="I6" s="12"/>
      <c r="J6" s="12"/>
      <c r="K6" s="12"/>
      <c r="L6" s="12"/>
      <c r="M6" s="12"/>
      <c r="N6" s="12"/>
      <c r="O6" s="12"/>
      <c r="P6" s="12"/>
    </row>
    <row r="7" spans="1:16">
      <c r="A7" s="12" t="s">
        <v>131</v>
      </c>
      <c r="B7" s="33">
        <v>48440</v>
      </c>
      <c r="C7" s="34">
        <v>8.7999999999999995E-2</v>
      </c>
      <c r="D7" s="32">
        <v>50</v>
      </c>
      <c r="E7" s="32"/>
      <c r="F7" s="12"/>
      <c r="G7" s="14" t="s">
        <v>116</v>
      </c>
      <c r="H7" s="14" t="s">
        <v>116</v>
      </c>
      <c r="I7" s="37" t="s">
        <v>118</v>
      </c>
      <c r="J7" s="35">
        <v>24.5</v>
      </c>
      <c r="K7" s="37" t="s">
        <v>119</v>
      </c>
      <c r="L7" s="35">
        <v>35</v>
      </c>
      <c r="M7" s="12"/>
      <c r="N7" s="14" t="s">
        <v>118</v>
      </c>
      <c r="O7" s="12"/>
      <c r="P7" s="14" t="s">
        <v>112</v>
      </c>
    </row>
    <row r="8" spans="1:16">
      <c r="A8" s="12" t="s">
        <v>132</v>
      </c>
      <c r="B8" s="33">
        <v>48440</v>
      </c>
      <c r="C8" s="34">
        <v>8.7999999999999995E-2</v>
      </c>
      <c r="D8" s="32">
        <v>50</v>
      </c>
      <c r="E8" s="32"/>
      <c r="F8" s="12"/>
      <c r="G8" s="14" t="s">
        <v>112</v>
      </c>
      <c r="H8" s="14" t="s">
        <v>116</v>
      </c>
      <c r="I8" s="37" t="s">
        <v>118</v>
      </c>
      <c r="J8" s="35">
        <v>24.5</v>
      </c>
      <c r="K8" s="37" t="s">
        <v>119</v>
      </c>
      <c r="L8" s="35">
        <v>35</v>
      </c>
      <c r="M8" s="12"/>
      <c r="N8" s="14" t="s">
        <v>118</v>
      </c>
      <c r="O8" s="12"/>
      <c r="P8" s="14" t="s">
        <v>112</v>
      </c>
    </row>
    <row r="9" spans="1:16">
      <c r="A9" s="12" t="s">
        <v>133</v>
      </c>
      <c r="B9" s="33">
        <v>48440</v>
      </c>
      <c r="C9" s="34">
        <v>8.7999999999999995E-2</v>
      </c>
      <c r="D9" s="32">
        <v>50</v>
      </c>
      <c r="E9" s="32"/>
      <c r="F9" s="12"/>
      <c r="G9" s="14" t="s">
        <v>112</v>
      </c>
      <c r="H9" s="14" t="s">
        <v>116</v>
      </c>
      <c r="I9" s="37" t="s">
        <v>118</v>
      </c>
      <c r="J9" s="35">
        <v>24.5</v>
      </c>
      <c r="K9" s="37" t="s">
        <v>119</v>
      </c>
      <c r="L9" s="35">
        <v>35</v>
      </c>
      <c r="M9" s="12"/>
      <c r="N9" s="14" t="s">
        <v>118</v>
      </c>
      <c r="O9" s="12"/>
      <c r="P9" s="14" t="s">
        <v>112</v>
      </c>
    </row>
    <row r="10" spans="1:16">
      <c r="A10" s="12" t="s">
        <v>134</v>
      </c>
      <c r="B10" s="33">
        <v>48440</v>
      </c>
      <c r="C10" s="34">
        <v>8.7999999999999995E-2</v>
      </c>
      <c r="D10" s="32">
        <v>50</v>
      </c>
      <c r="E10" s="32"/>
      <c r="F10" s="12"/>
      <c r="G10" s="14" t="s">
        <v>112</v>
      </c>
      <c r="H10" s="14" t="s">
        <v>116</v>
      </c>
      <c r="I10" s="37" t="s">
        <v>118</v>
      </c>
      <c r="J10" s="35">
        <v>24.5</v>
      </c>
      <c r="K10" s="37" t="s">
        <v>119</v>
      </c>
      <c r="L10" s="35">
        <v>35</v>
      </c>
      <c r="M10" s="12"/>
      <c r="N10" s="14" t="s">
        <v>118</v>
      </c>
      <c r="O10" s="12"/>
      <c r="P10" s="14" t="s">
        <v>112</v>
      </c>
    </row>
    <row r="11" spans="1:16">
      <c r="A11" s="12" t="s">
        <v>135</v>
      </c>
      <c r="B11" s="33">
        <v>48440</v>
      </c>
      <c r="C11" s="34">
        <v>8.7999999999999995E-2</v>
      </c>
      <c r="D11" s="32">
        <v>55</v>
      </c>
      <c r="E11" s="32"/>
      <c r="F11" s="12"/>
      <c r="G11" s="14" t="s">
        <v>112</v>
      </c>
      <c r="H11" s="14" t="s">
        <v>116</v>
      </c>
      <c r="I11" s="37" t="s">
        <v>118</v>
      </c>
      <c r="J11" s="35">
        <v>24.5</v>
      </c>
      <c r="K11" s="37" t="s">
        <v>119</v>
      </c>
      <c r="L11" s="35">
        <v>35</v>
      </c>
      <c r="M11" s="12"/>
      <c r="N11" s="14" t="s">
        <v>118</v>
      </c>
      <c r="O11" s="12"/>
      <c r="P11" s="14" t="s">
        <v>112</v>
      </c>
    </row>
    <row r="12" spans="1:16">
      <c r="A12" s="12" t="s">
        <v>136</v>
      </c>
      <c r="B12" s="33">
        <v>48440</v>
      </c>
      <c r="C12" s="34">
        <v>8.7999999999999995E-2</v>
      </c>
      <c r="D12" s="32">
        <v>55</v>
      </c>
      <c r="E12" s="32"/>
      <c r="F12" s="12"/>
      <c r="G12" s="14" t="s">
        <v>112</v>
      </c>
      <c r="H12" s="14" t="s">
        <v>116</v>
      </c>
      <c r="I12" s="37" t="s">
        <v>118</v>
      </c>
      <c r="J12" s="35">
        <v>24.5</v>
      </c>
      <c r="K12" s="37" t="s">
        <v>119</v>
      </c>
      <c r="L12" s="35">
        <v>35</v>
      </c>
      <c r="M12" s="12"/>
      <c r="N12" s="14" t="s">
        <v>118</v>
      </c>
      <c r="O12" s="12"/>
      <c r="P12" s="14" t="s">
        <v>112</v>
      </c>
    </row>
    <row r="13" spans="1:16">
      <c r="A13" s="12" t="s">
        <v>137</v>
      </c>
      <c r="B13" s="33">
        <v>48440</v>
      </c>
      <c r="C13" s="34">
        <v>8.7999999999999995E-2</v>
      </c>
      <c r="D13" s="32">
        <v>57</v>
      </c>
      <c r="E13" s="32"/>
      <c r="F13" s="12"/>
      <c r="G13" s="14" t="s">
        <v>112</v>
      </c>
      <c r="H13" s="14" t="s">
        <v>116</v>
      </c>
      <c r="I13" s="14" t="s">
        <v>118</v>
      </c>
      <c r="J13" s="35">
        <v>24.5</v>
      </c>
      <c r="K13" s="14" t="s">
        <v>119</v>
      </c>
      <c r="L13" s="35">
        <v>45</v>
      </c>
      <c r="M13" s="12"/>
      <c r="N13" s="14" t="s">
        <v>118</v>
      </c>
      <c r="O13" s="12"/>
      <c r="P13" s="14" t="s">
        <v>112</v>
      </c>
    </row>
    <row r="14" spans="1:16">
      <c r="A14" s="12" t="s">
        <v>138</v>
      </c>
      <c r="B14" s="33">
        <v>48440</v>
      </c>
      <c r="C14" s="34">
        <v>8.7999999999999995E-2</v>
      </c>
      <c r="D14" s="32">
        <v>57</v>
      </c>
      <c r="E14" s="32"/>
      <c r="F14" s="12"/>
      <c r="G14" s="14" t="s">
        <v>112</v>
      </c>
      <c r="H14" s="14" t="s">
        <v>116</v>
      </c>
      <c r="I14" s="14" t="s">
        <v>118</v>
      </c>
      <c r="J14" s="35">
        <v>26</v>
      </c>
      <c r="K14" s="14" t="s">
        <v>119</v>
      </c>
      <c r="L14" s="35">
        <v>47</v>
      </c>
      <c r="M14" s="12"/>
      <c r="N14" s="14" t="s">
        <v>118</v>
      </c>
      <c r="O14" s="12"/>
      <c r="P14" s="14" t="s">
        <v>112</v>
      </c>
    </row>
    <row r="15" spans="1:16">
      <c r="A15" s="12" t="s">
        <v>139</v>
      </c>
      <c r="B15" s="33">
        <v>48440</v>
      </c>
      <c r="C15" s="34">
        <v>8.7999999999999995E-2</v>
      </c>
      <c r="D15" s="32">
        <v>57</v>
      </c>
      <c r="E15" s="32"/>
      <c r="F15" s="12"/>
      <c r="G15" s="14" t="s">
        <v>112</v>
      </c>
      <c r="H15" s="14" t="s">
        <v>116</v>
      </c>
      <c r="I15" s="14" t="s">
        <v>118</v>
      </c>
      <c r="J15" s="35">
        <v>26.5</v>
      </c>
      <c r="K15" s="14" t="s">
        <v>119</v>
      </c>
      <c r="L15" s="35">
        <v>48</v>
      </c>
      <c r="M15" s="12"/>
      <c r="N15" s="14" t="s">
        <v>118</v>
      </c>
      <c r="O15" s="12"/>
      <c r="P15" s="14" t="s">
        <v>112</v>
      </c>
    </row>
    <row r="16" spans="1:16">
      <c r="A16" s="12" t="s">
        <v>140</v>
      </c>
      <c r="B16" s="33">
        <v>48440</v>
      </c>
      <c r="C16" s="34">
        <v>8.7999999999999995E-2</v>
      </c>
      <c r="D16" s="32">
        <v>57</v>
      </c>
      <c r="E16" s="32"/>
      <c r="F16" s="12"/>
      <c r="G16" s="14" t="s">
        <v>112</v>
      </c>
      <c r="H16" s="14" t="s">
        <v>116</v>
      </c>
      <c r="I16" s="14" t="s">
        <v>118</v>
      </c>
      <c r="J16" s="35">
        <v>27</v>
      </c>
      <c r="K16" s="14" t="s">
        <v>119</v>
      </c>
      <c r="L16" s="35">
        <v>49</v>
      </c>
      <c r="M16" s="12"/>
      <c r="N16" s="14" t="s">
        <v>119</v>
      </c>
      <c r="O16" s="12"/>
      <c r="P16" s="14" t="s">
        <v>115</v>
      </c>
    </row>
    <row r="17" spans="1:16">
      <c r="A17" s="12" t="s">
        <v>141</v>
      </c>
      <c r="B17" s="33">
        <v>48440</v>
      </c>
      <c r="C17" s="34">
        <v>8.7999999999999995E-2</v>
      </c>
      <c r="D17" s="32">
        <v>62</v>
      </c>
      <c r="E17" s="32"/>
      <c r="F17" s="12"/>
      <c r="G17" s="14" t="s">
        <v>112</v>
      </c>
      <c r="H17" s="14" t="s">
        <v>116</v>
      </c>
      <c r="I17" s="14" t="s">
        <v>118</v>
      </c>
      <c r="J17" s="35">
        <v>27.5</v>
      </c>
      <c r="K17" s="14" t="s">
        <v>119</v>
      </c>
      <c r="L17" s="35">
        <v>50</v>
      </c>
      <c r="M17" s="12"/>
      <c r="N17" s="14" t="s">
        <v>122</v>
      </c>
      <c r="O17" s="12"/>
      <c r="P17" s="14" t="s">
        <v>125</v>
      </c>
    </row>
    <row r="18" spans="1:16">
      <c r="A18" s="12" t="s">
        <v>142</v>
      </c>
      <c r="B18" s="33">
        <v>48440</v>
      </c>
      <c r="C18" s="34">
        <v>8.7999999999999995E-2</v>
      </c>
      <c r="D18" s="32">
        <v>62</v>
      </c>
      <c r="E18" s="32"/>
      <c r="F18" s="12"/>
      <c r="G18" s="14" t="s">
        <v>114</v>
      </c>
      <c r="H18" s="14" t="s">
        <v>116</v>
      </c>
      <c r="I18" s="14" t="s">
        <v>118</v>
      </c>
      <c r="J18" s="35">
        <v>28</v>
      </c>
      <c r="K18" s="14" t="s">
        <v>119</v>
      </c>
      <c r="L18" s="35">
        <v>51</v>
      </c>
      <c r="M18" s="12"/>
      <c r="N18" s="14" t="s">
        <v>122</v>
      </c>
      <c r="O18" s="12"/>
      <c r="P18" s="14" t="s">
        <v>125</v>
      </c>
    </row>
    <row r="19" spans="1:16">
      <c r="A19" s="12" t="s">
        <v>143</v>
      </c>
      <c r="B19" s="33">
        <v>48440</v>
      </c>
      <c r="C19" s="34">
        <v>8.8800000000000004E-2</v>
      </c>
      <c r="D19" s="32">
        <v>64</v>
      </c>
      <c r="E19" s="32"/>
      <c r="F19" s="12"/>
      <c r="G19" s="14" t="s">
        <v>115</v>
      </c>
      <c r="H19" s="14" t="s">
        <v>117</v>
      </c>
      <c r="I19" s="14" t="s">
        <v>118</v>
      </c>
      <c r="J19" s="35">
        <v>28.5</v>
      </c>
      <c r="K19" s="14" t="s">
        <v>119</v>
      </c>
      <c r="L19" s="35">
        <v>52</v>
      </c>
      <c r="M19" s="12"/>
      <c r="N19" s="14" t="s">
        <v>122</v>
      </c>
      <c r="O19" s="12"/>
      <c r="P19" s="14" t="s">
        <v>125</v>
      </c>
    </row>
    <row r="20" spans="1:16" s="36" customFormat="1">
      <c r="A20" s="62" t="s">
        <v>144</v>
      </c>
      <c r="B20" s="63">
        <v>48440</v>
      </c>
      <c r="C20" s="64">
        <v>8.8800000000000004E-2</v>
      </c>
      <c r="D20" s="65">
        <v>64</v>
      </c>
      <c r="E20" s="65"/>
      <c r="F20" s="62"/>
      <c r="G20" s="66" t="s">
        <v>115</v>
      </c>
      <c r="H20" s="66" t="s">
        <v>115</v>
      </c>
      <c r="I20" s="66" t="s">
        <v>118</v>
      </c>
      <c r="J20" s="67">
        <v>28.5</v>
      </c>
      <c r="K20" s="66" t="s">
        <v>119</v>
      </c>
      <c r="L20" s="67">
        <v>52</v>
      </c>
      <c r="M20" s="62"/>
      <c r="N20" s="66" t="s">
        <v>122</v>
      </c>
      <c r="O20" s="62"/>
      <c r="P20" s="66" t="s">
        <v>125</v>
      </c>
    </row>
    <row r="21" spans="1:16" s="36" customFormat="1">
      <c r="A21" s="62" t="s">
        <v>183</v>
      </c>
      <c r="B21" s="63">
        <v>48440</v>
      </c>
      <c r="C21" s="64">
        <v>8.8800000000000004E-2</v>
      </c>
      <c r="D21" s="65">
        <v>66</v>
      </c>
      <c r="E21" s="65"/>
      <c r="F21" s="62"/>
      <c r="G21" s="66" t="s">
        <v>115</v>
      </c>
      <c r="H21" s="66" t="s">
        <v>115</v>
      </c>
      <c r="I21" s="66" t="s">
        <v>118</v>
      </c>
      <c r="J21" s="67">
        <v>28.5</v>
      </c>
      <c r="K21" s="66" t="s">
        <v>119</v>
      </c>
      <c r="L21" s="67">
        <v>52</v>
      </c>
      <c r="M21" s="62"/>
      <c r="N21" s="66" t="s">
        <v>122</v>
      </c>
      <c r="O21" s="62"/>
      <c r="P21" s="66" t="s">
        <v>125</v>
      </c>
    </row>
    <row r="22" spans="1:16" s="59" customFormat="1">
      <c r="A22" s="62" t="s">
        <v>184</v>
      </c>
      <c r="B22" s="63">
        <v>48440</v>
      </c>
      <c r="C22" s="64">
        <v>8.8800000000000004E-2</v>
      </c>
      <c r="D22" s="65">
        <v>66</v>
      </c>
      <c r="E22" s="65"/>
      <c r="F22" s="62"/>
      <c r="G22" s="66" t="s">
        <v>115</v>
      </c>
      <c r="H22" s="66" t="s">
        <v>115</v>
      </c>
      <c r="I22" s="66" t="s">
        <v>118</v>
      </c>
      <c r="J22" s="67">
        <v>28.5</v>
      </c>
      <c r="K22" s="66" t="s">
        <v>119</v>
      </c>
      <c r="L22" s="67">
        <v>52</v>
      </c>
      <c r="M22" s="62"/>
      <c r="N22" s="66" t="s">
        <v>122</v>
      </c>
      <c r="O22" s="62"/>
      <c r="P22" s="66" t="s">
        <v>125</v>
      </c>
    </row>
    <row r="23" spans="1:16" s="59" customFormat="1">
      <c r="A23" s="77" t="s">
        <v>188</v>
      </c>
      <c r="B23" s="78">
        <v>56400</v>
      </c>
      <c r="C23" s="79">
        <v>0.11600000000000001</v>
      </c>
      <c r="D23" s="80">
        <v>73</v>
      </c>
      <c r="E23" s="80"/>
      <c r="F23" s="77"/>
      <c r="G23" s="81" t="s">
        <v>115</v>
      </c>
      <c r="H23" s="81" t="s">
        <v>115</v>
      </c>
      <c r="I23" s="81" t="s">
        <v>118</v>
      </c>
      <c r="J23" s="82">
        <v>29.5</v>
      </c>
      <c r="K23" s="81" t="s">
        <v>119</v>
      </c>
      <c r="L23" s="82">
        <v>54.5</v>
      </c>
      <c r="M23" s="77"/>
      <c r="N23" s="81" t="s">
        <v>122</v>
      </c>
      <c r="O23" s="77"/>
      <c r="P23" s="81" t="s">
        <v>125</v>
      </c>
    </row>
    <row r="24" spans="1:16" s="59" customFormat="1">
      <c r="A24" s="53" t="s">
        <v>192</v>
      </c>
      <c r="B24" s="54">
        <v>56400</v>
      </c>
      <c r="C24" s="55">
        <v>0.11600000000000001</v>
      </c>
      <c r="D24" s="56">
        <v>80</v>
      </c>
      <c r="E24" s="56"/>
      <c r="F24" s="53"/>
      <c r="G24" s="57" t="s">
        <v>115</v>
      </c>
      <c r="H24" s="57" t="s">
        <v>115</v>
      </c>
      <c r="I24" s="57" t="s">
        <v>118</v>
      </c>
      <c r="J24" s="58">
        <v>30.5</v>
      </c>
      <c r="K24" s="57" t="s">
        <v>119</v>
      </c>
      <c r="L24" s="58">
        <v>56</v>
      </c>
      <c r="M24" s="53"/>
      <c r="N24" s="57" t="s">
        <v>122</v>
      </c>
      <c r="O24" s="53"/>
      <c r="P24" s="57" t="s">
        <v>125</v>
      </c>
    </row>
    <row r="25" spans="1:16">
      <c r="B25" s="26"/>
      <c r="C25" s="27"/>
      <c r="D25" s="26"/>
      <c r="E25" s="26"/>
    </row>
    <row r="26" spans="1:16">
      <c r="A26" t="s">
        <v>108</v>
      </c>
      <c r="B26" s="26"/>
      <c r="C26" s="27"/>
      <c r="D26" s="26"/>
      <c r="E26" s="26"/>
    </row>
    <row r="27" spans="1:16">
      <c r="A27" t="s">
        <v>109</v>
      </c>
      <c r="B27" s="26"/>
      <c r="C27" s="27"/>
      <c r="D27" s="26"/>
      <c r="E27" s="26"/>
    </row>
    <row r="28" spans="1:16">
      <c r="A28" t="s">
        <v>110</v>
      </c>
      <c r="B28" s="26"/>
      <c r="C28" s="27"/>
      <c r="D28" s="26"/>
      <c r="E28" s="26"/>
    </row>
    <row r="29" spans="1:16">
      <c r="A29" t="s">
        <v>130</v>
      </c>
      <c r="B29" s="26"/>
      <c r="C29" s="27"/>
      <c r="D29" s="26"/>
      <c r="E29" s="26"/>
    </row>
    <row r="30" spans="1:16">
      <c r="A30" t="s">
        <v>111</v>
      </c>
      <c r="B30" s="26"/>
      <c r="C30" s="27"/>
      <c r="D30" s="26"/>
      <c r="E30" s="26"/>
    </row>
    <row r="31" spans="1:16">
      <c r="A31" s="36" t="s">
        <v>129</v>
      </c>
      <c r="B31" s="26"/>
      <c r="C31" s="27"/>
      <c r="D31" s="26"/>
      <c r="E31" s="26"/>
    </row>
    <row r="32" spans="1:16">
      <c r="B32" s="26"/>
      <c r="C32" s="27"/>
      <c r="D32" s="26"/>
      <c r="E32" s="26"/>
    </row>
    <row r="33" spans="1:5">
      <c r="A33" s="69" t="s">
        <v>187</v>
      </c>
      <c r="B33" s="26"/>
      <c r="C33" s="27"/>
      <c r="D33" s="26"/>
      <c r="E33" s="26"/>
    </row>
    <row r="34" spans="1:5">
      <c r="A34" t="s">
        <v>181</v>
      </c>
      <c r="B34" s="26"/>
      <c r="C34" s="27"/>
      <c r="D34" s="26"/>
      <c r="E34" s="26"/>
    </row>
    <row r="35" spans="1:5">
      <c r="A35" t="s">
        <v>179</v>
      </c>
      <c r="B35" s="26"/>
      <c r="C35" s="27"/>
      <c r="D35" s="26"/>
      <c r="E35" s="26"/>
    </row>
    <row r="36" spans="1:5">
      <c r="A36" t="s">
        <v>180</v>
      </c>
      <c r="B36" s="26"/>
      <c r="C36" s="27"/>
      <c r="D36" s="26"/>
      <c r="E36" s="26"/>
    </row>
    <row r="37" spans="1:5">
      <c r="A37" t="s">
        <v>185</v>
      </c>
    </row>
    <row r="38" spans="1:5">
      <c r="A38" s="68" t="s">
        <v>186</v>
      </c>
    </row>
    <row r="39" spans="1:5">
      <c r="A39" s="68"/>
    </row>
    <row r="40" spans="1:5">
      <c r="A40" s="69" t="s">
        <v>189</v>
      </c>
      <c r="B40" s="26"/>
      <c r="C40" s="27"/>
      <c r="D40" s="26"/>
      <c r="E40" s="26"/>
    </row>
    <row r="41" spans="1:5">
      <c r="A41" t="s">
        <v>181</v>
      </c>
      <c r="B41" s="26"/>
      <c r="C41" s="27"/>
      <c r="D41" s="26"/>
      <c r="E41" s="26"/>
    </row>
    <row r="42" spans="1:5">
      <c r="A42" t="s">
        <v>190</v>
      </c>
      <c r="B42" s="26"/>
      <c r="C42" s="27"/>
      <c r="D42" s="26"/>
      <c r="E42" s="26"/>
    </row>
    <row r="43" spans="1:5">
      <c r="A43" t="s">
        <v>191</v>
      </c>
      <c r="B43" s="26"/>
      <c r="C43" s="27"/>
      <c r="D43" s="26"/>
      <c r="E43" s="26"/>
    </row>
    <row r="44" spans="1:5">
      <c r="A44" t="s">
        <v>185</v>
      </c>
    </row>
    <row r="45" spans="1:5">
      <c r="A45" s="68" t="s">
        <v>186</v>
      </c>
    </row>
    <row r="46" spans="1:5">
      <c r="A46" s="69" t="s">
        <v>197</v>
      </c>
      <c r="B46" s="26"/>
      <c r="C46" s="27"/>
      <c r="D46" s="26"/>
      <c r="E46" s="26"/>
    </row>
    <row r="47" spans="1:5">
      <c r="A47" t="s">
        <v>181</v>
      </c>
      <c r="B47" s="26"/>
      <c r="C47" s="27"/>
      <c r="D47" s="26"/>
      <c r="E47" s="26"/>
    </row>
    <row r="48" spans="1:5">
      <c r="A48" t="s">
        <v>198</v>
      </c>
      <c r="B48" s="26"/>
      <c r="C48" s="27"/>
      <c r="D48" s="26"/>
      <c r="E48" s="26"/>
    </row>
    <row r="49" spans="1:5">
      <c r="A49" t="s">
        <v>199</v>
      </c>
      <c r="B49" s="26"/>
      <c r="C49" s="27"/>
      <c r="D49" s="26"/>
      <c r="E49" s="26"/>
    </row>
    <row r="50" spans="1:5">
      <c r="A50" t="s">
        <v>185</v>
      </c>
    </row>
    <row r="51" spans="1:5">
      <c r="A51" s="68" t="s">
        <v>186</v>
      </c>
    </row>
    <row r="53" spans="1:5">
      <c r="A53" s="28" t="s">
        <v>102</v>
      </c>
      <c r="B53" s="28" t="s">
        <v>93</v>
      </c>
      <c r="C53" s="28" t="s">
        <v>94</v>
      </c>
      <c r="D53" s="12" t="s">
        <v>92</v>
      </c>
    </row>
    <row r="54" spans="1:5">
      <c r="A54" s="28" t="s">
        <v>95</v>
      </c>
      <c r="B54" s="29">
        <v>8.7999999999999995E-2</v>
      </c>
      <c r="C54" s="30">
        <v>48440</v>
      </c>
      <c r="D54" s="32">
        <v>50</v>
      </c>
      <c r="E54" s="31"/>
    </row>
    <row r="55" spans="1:5">
      <c r="A55" s="28" t="s">
        <v>96</v>
      </c>
      <c r="B55" s="29">
        <v>8.0100000000000005E-2</v>
      </c>
      <c r="C55" s="30">
        <v>44050</v>
      </c>
      <c r="D55" s="32">
        <v>50</v>
      </c>
      <c r="E55" s="31"/>
    </row>
    <row r="56" spans="1:5">
      <c r="A56" s="28" t="s">
        <v>97</v>
      </c>
      <c r="B56" s="29">
        <v>8.0199999999999994E-2</v>
      </c>
      <c r="C56" s="30">
        <v>44147</v>
      </c>
      <c r="D56" s="32">
        <v>50</v>
      </c>
      <c r="E56" s="31"/>
    </row>
    <row r="57" spans="1:5">
      <c r="A57" s="28" t="s">
        <v>98</v>
      </c>
      <c r="B57" s="29">
        <v>8.14E-2</v>
      </c>
      <c r="C57" s="30">
        <v>44784</v>
      </c>
      <c r="D57" s="32">
        <v>50</v>
      </c>
      <c r="E57" s="31"/>
    </row>
    <row r="58" spans="1:5">
      <c r="A58" s="28" t="s">
        <v>99</v>
      </c>
      <c r="B58" s="29">
        <v>8.1699999999999995E-2</v>
      </c>
      <c r="C58" s="30">
        <v>44937</v>
      </c>
      <c r="D58" s="32">
        <v>50</v>
      </c>
      <c r="E58" s="31"/>
    </row>
    <row r="59" spans="1:5">
      <c r="A59" s="28" t="s">
        <v>100</v>
      </c>
      <c r="B59" s="29">
        <v>8.1799999999999998E-2</v>
      </c>
      <c r="C59" s="30">
        <v>44977</v>
      </c>
      <c r="D59" s="32">
        <v>50</v>
      </c>
      <c r="E59" s="31"/>
    </row>
    <row r="60" spans="1:5">
      <c r="A60" s="28" t="s">
        <v>101</v>
      </c>
      <c r="B60" s="29">
        <v>8.2000000000000003E-2</v>
      </c>
      <c r="C60" s="30">
        <v>45128</v>
      </c>
      <c r="D60" s="32">
        <v>50</v>
      </c>
      <c r="E60" s="31"/>
    </row>
  </sheetData>
  <mergeCells count="11">
    <mergeCell ref="G3:L3"/>
    <mergeCell ref="A3:A5"/>
    <mergeCell ref="P4:P5"/>
    <mergeCell ref="F3:F5"/>
    <mergeCell ref="E3:E5"/>
    <mergeCell ref="B3:D4"/>
    <mergeCell ref="M3:M5"/>
    <mergeCell ref="O3:O5"/>
    <mergeCell ref="I4:J4"/>
    <mergeCell ref="K4:L4"/>
    <mergeCell ref="G4:H4"/>
  </mergeCells>
  <phoneticPr fontId="3"/>
  <pageMargins left="0.7" right="0.7" top="0.75" bottom="0.75" header="0.3" footer="0.3"/>
  <pageSetup paperSize="9" scale="58"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配布用(出力用)</vt:lpstr>
      <vt:lpstr>所得入力用</vt:lpstr>
      <vt:lpstr>参考資料</vt:lpstr>
      <vt:lpstr>'配布用(出力用)'!Print_Area</vt:lpstr>
    </vt:vector>
  </TitlesOfParts>
  <Company>沖縄県後期高齢者医療広域連合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沖縄県後期高齢者医療広域連合</dc:creator>
  <cp:lastModifiedBy>kanri05</cp:lastModifiedBy>
  <cp:lastPrinted>2025-04-04T06:33:22Z</cp:lastPrinted>
  <dcterms:created xsi:type="dcterms:W3CDTF">2019-06-22T01:55:30Z</dcterms:created>
  <dcterms:modified xsi:type="dcterms:W3CDTF">2025-04-04T06:33:32Z</dcterms:modified>
</cp:coreProperties>
</file>